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eVwvPW4UCiC+55shFIwJmgJjZM9bCQywz15tY24VanbD2rPHKzCgx0MvxY4MR8woEiILT6LkNKemRUdpX5mq+Q==" workbookSaltValue="YoGjXiaS2D/6oAXXsMwGs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13" i="7"/>
  <c r="AB19" i="19"/>
  <c r="E18" i="12"/>
  <c r="D18" i="12"/>
  <c r="ER19" i="8"/>
  <c r="EQ19" i="8"/>
  <c r="BA13" i="16"/>
  <c r="AC17" i="11"/>
  <c r="G18" i="12"/>
  <c r="W19" i="13"/>
  <c r="AL13" i="16"/>
  <c r="S13" i="16"/>
  <c r="P13" i="16"/>
  <c r="AN13" i="20"/>
  <c r="H13" i="12"/>
  <c r="T19" i="8"/>
  <c r="T13" i="12"/>
  <c r="BG12" i="8"/>
  <c r="I19" i="8"/>
  <c r="E13" i="17"/>
  <c r="T13" i="20"/>
  <c r="T13" i="16"/>
  <c r="AP13" i="16"/>
  <c r="J20" i="20"/>
  <c r="AF20" i="20"/>
  <c r="M20" i="20"/>
  <c r="AG20" i="20"/>
  <c r="S20" i="20"/>
  <c r="K20" i="20"/>
  <c r="Z20" i="20"/>
  <c r="AM20" i="20"/>
  <c r="AK20" i="20"/>
  <c r="W20" i="21"/>
  <c r="F20" i="20"/>
  <c r="AR18" i="11" l="1"/>
  <c r="AN17" i="11"/>
  <c r="G17" i="3"/>
  <c r="Z19" i="8"/>
  <c r="AH19" i="8"/>
  <c r="G15" i="3"/>
  <c r="I12" i="3"/>
  <c r="E12" i="3"/>
  <c r="D13" i="7"/>
  <c r="C19" i="3"/>
  <c r="AA19" i="8"/>
  <c r="BF9" i="8"/>
  <c r="M18" i="2"/>
  <c r="D17" i="6"/>
  <c r="BD15" i="13"/>
  <c r="BA13" i="8"/>
  <c r="BF12" i="8"/>
  <c r="AY13" i="8"/>
  <c r="BG9" i="8"/>
  <c r="BE9" i="8"/>
  <c r="I9" i="7" s="1"/>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H9" i="7"/>
  <c r="E11" i="6"/>
  <c r="I13" i="2"/>
  <c r="J13" i="2" s="1"/>
  <c r="H12" i="2"/>
  <c r="D11" i="2"/>
  <c r="B11" i="6"/>
  <c r="AL11" i="11"/>
  <c r="D9" i="6"/>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C16" i="6"/>
  <c r="K9" i="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9" i="12"/>
  <c r="J9" i="12"/>
  <c r="X13" i="17"/>
  <c r="AM15" i="11"/>
  <c r="L11" i="2"/>
  <c r="U10" i="21"/>
  <c r="AA16" i="16"/>
  <c r="R12" i="14"/>
  <c r="R13" i="14" s="1"/>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V13" i="21"/>
  <c r="V19" i="21" s="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<sst xmlns="http://schemas.openxmlformats.org/spreadsheetml/2006/main" count="2080" uniqueCount="914">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</sst>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5OgsPOfbdmitXD53wbHHpiDx6REL8s0ork/XBA8ZP1yvflRkuaSY53Cs5dKVea7rP5tKzKjh1FbFMTecD9g+g==" saltValue="Q/zTo0B1mkYVV9aar+gA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10.383861368807981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75</v>
      </c>
      <c r="D10" s="228">
        <f>IF(ISNUMBER(Datos!I10),Datos!I10," - ")</f>
        <v>75</v>
      </c>
      <c r="E10" s="229">
        <f>IF(ISNUMBER(Datos!J10),Datos!J10," - ")</f>
        <v>123</v>
      </c>
      <c r="F10" s="229">
        <f>IF(ISNUMBER(Datos!K10),Datos!K10," - ")</f>
        <v>82</v>
      </c>
      <c r="G10" s="1037" t="str">
        <f>IF(Datos!E10&lt;&gt;"",Datos!E10,Datos!D10)</f>
        <v>37</v>
      </c>
      <c r="H10" s="230">
        <f>IF(ISNUMBER(Datos!L10),Datos!L10," - ")</f>
        <v>116</v>
      </c>
      <c r="I10" s="1047" t="str">
        <f>IF(ISNUMBER(Datos!AS10/Datos!BM10),Datos!AS10/Datos!BM10," - ")</f>
        <v xml:space="preserve"> - </v>
      </c>
      <c r="J10" s="1048">
        <f>IF(ISNUMBER(Datos!BY10/Datos!CN10),Datos!BY10/Datos!CN10," - ")</f>
        <v>0</v>
      </c>
      <c r="K10" s="233">
        <f t="shared" ref="K10:K12" si="1">IF(ISNUMBER((E10-F10)/C10),(E10-F10)/C10," - ")</f>
        <v>0.54666666666666663</v>
      </c>
      <c r="L10" s="1028">
        <f>IF(ISNUMBER(NºAsuntos!I10/NºAsuntos!G10),(NºAsuntos!I10/NºAsuntos!G10)*11," - ")</f>
        <v>15.560975609756097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6.0378346915017467</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75</v>
      </c>
      <c r="D13" s="1052">
        <f>SUBTOTAL(9,D9:D12)</f>
        <v>75</v>
      </c>
      <c r="E13" s="1053">
        <f>SUBTOTAL(9,E9:E12)</f>
        <v>123</v>
      </c>
      <c r="F13" s="1054">
        <f>SUBTOTAL(9,F9:F12)</f>
        <v>82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2044</v>
      </c>
      <c r="D15" s="228">
        <f>IF(ISNUMBER(IF(D_I="SI",Datos!I15,Datos!I15+Datos!AC15)),IF(D_I="SI",Datos!I15,Datos!I15+Datos!AC15)," - ")</f>
        <v>2032</v>
      </c>
      <c r="E15" s="229">
        <f>IF(ISNUMBER(IF(D_I="SI",Datos!J15,Datos!J15+Datos!AD15)),IF(D_I="SI",Datos!J15,Datos!J15+Datos!AD15)," - ")</f>
        <v>7473</v>
      </c>
      <c r="F15" s="229">
        <f>IF(ISNUMBER(IF(D_I="SI",Datos!K15,Datos!K15+Datos!AE15)),IF(D_I="SI",Datos!K15,Datos!K15+Datos!AE15)," - ")</f>
        <v>7099</v>
      </c>
      <c r="G15" s="1037" t="str">
        <f>IF(Datos!E15&lt;&gt;"",Datos!E15,Datos!D15)</f>
        <v>03</v>
      </c>
      <c r="H15" s="230">
        <f>IF(ISNUMBER(IF(D_I="SI",Datos!L15,Datos!L15+Datos!AF15)),IF(D_I="SI",Datos!L15,Datos!L15+Datos!AF15)," - ")</f>
        <v>2418</v>
      </c>
      <c r="I15" s="1047" t="str">
        <f>IF(ISNUMBER(Datos!AS15/Datos!BM15),Datos!AS15/Datos!BM15," - ")</f>
        <v xml:space="preserve"> - </v>
      </c>
      <c r="J15" s="1048">
        <f>IF(ISNUMBER(Datos!BY15/Datos!CN15),Datos!BY15/Datos!CN15," - ")</f>
        <v>0</v>
      </c>
      <c r="K15" s="233">
        <f t="shared" ref="K15:K17" si="3">IF(ISNUMBER((E15-F15)/C15),(E15-F15)/C15," - ")</f>
        <v>0.18297455968688844</v>
      </c>
      <c r="L15" s="1028">
        <f>IF(ISNUMBER(NºAsuntos!I15/NºAsuntos!G15),(NºAsuntos!I15/NºAsuntos!G15)*11," - ")</f>
        <v>3.7467248908296944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190</v>
      </c>
      <c r="D17" s="228">
        <f>IF(ISNUMBER(IF(D_I="SI",Datos!I17,Datos!I17+Datos!AC17)),IF(D_I="SI",Datos!I17,Datos!I17+Datos!AC17)," - ")</f>
        <v>189</v>
      </c>
      <c r="E17" s="229">
        <f>IF(ISNUMBER(IF(D_I="SI",Datos!J17,Datos!J17+Datos!AD17)),IF(D_I="SI",Datos!J17,Datos!J17+Datos!AD17)," - ")</f>
        <v>577</v>
      </c>
      <c r="F17" s="229">
        <f>IF(ISNUMBER(IF(D_I="SI",Datos!K17,Datos!K17+Datos!AE17)),IF(D_I="SI",Datos!K17,Datos!K17+Datos!AE17)," - ")</f>
        <v>554</v>
      </c>
      <c r="G17" s="1037" t="str">
        <f>IF(Datos!E17&lt;&gt;"",Datos!E17,Datos!D17)</f>
        <v>37</v>
      </c>
      <c r="H17" s="230">
        <f>IF(ISNUMBER(IF(D_I="SI",Datos!L17,Datos!L17+Datos!AF17)),IF(D_I="SI",Datos!L17,Datos!L17+Datos!AF17)," - ")</f>
        <v>213</v>
      </c>
      <c r="I17" s="1047" t="str">
        <f>IF(ISNUMBER(Datos!AS17/Datos!BM17),Datos!AS17/Datos!BM17," - ")</f>
        <v xml:space="preserve"> - </v>
      </c>
      <c r="J17" s="1048" t="str">
        <f>IF(ISNUMBER((Datos!BY17+Datos!BZ17)/Datos!CN17),(Datos!BY17+Datos!BZ17)/Datos!CN17," - ")</f>
        <v xml:space="preserve"> - </v>
      </c>
      <c r="K17" s="233">
        <f t="shared" si="3"/>
        <v>0.12105263157894737</v>
      </c>
      <c r="L17" s="1028">
        <f>IF(ISNUMBER(NºAsuntos!I17/NºAsuntos!G17),(NºAsuntos!I17/NºAsuntos!G17)*11," - ")</f>
        <v>4.2292418772563183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2234</v>
      </c>
      <c r="D18" s="1052">
        <f>SUBTOTAL(9,D15:D17)</f>
        <v>2221</v>
      </c>
      <c r="E18" s="1053">
        <f>SUBTOTAL(9,E15:E17)</f>
        <v>8050</v>
      </c>
      <c r="F18" s="1053">
        <f>SUBTOTAL(9,F15:F17)</f>
        <v>7653</v>
      </c>
      <c r="G18" s="1055" t="str">
        <f ca="1">INDIRECT(CONCATENATE("G",ROW()-1))</f>
        <v>37</v>
      </c>
      <c r="H18" s="1056">
        <f ca="1">SUMIF(G$14:G17,G18,H$14:H17)</f>
        <v>213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2309</v>
      </c>
      <c r="D19" s="1074">
        <f>SUBTOTAL(9,D9:D18)</f>
        <v>2296</v>
      </c>
      <c r="E19" s="1075">
        <f>SUBTOTAL(9,E9:E18)</f>
        <v>8173</v>
      </c>
      <c r="F19" s="1075">
        <f>SUBTOTAL(9,F9:F18)</f>
        <v>7735</v>
      </c>
      <c r="G19" s="1076"/>
      <c r="H19" s="1077">
        <f ca="1">SUMIF(B9:B18,"TOTAL",H9:H18)</f>
        <v>213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6P3+utmsmJfcDj4jEnMCp8gW+FP8kMKO8lRG9lWNB/zn2gb/qI4FA40uM62uFJ2LE4ULtIFbvPJjYYOTvgX4A==" saltValue="oztqx/eqkcsPeI/fkbR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BkpDWvtCIKQxrj2uBorAAncucWXn0XZCi1933IlANiQ6wFjeBJhnh90sUezqXgs59y0W+cyVVg2D4SKIUP8DQ==" saltValue="xsZLvb4mTJzrjUA/dUw7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3767</v>
      </c>
      <c r="J9" s="184">
        <v>6967</v>
      </c>
      <c r="K9" s="184">
        <v>5376</v>
      </c>
      <c r="L9" s="184">
        <v>5272</v>
      </c>
      <c r="M9" s="184">
        <v>1527</v>
      </c>
      <c r="N9" s="184">
        <v>2134</v>
      </c>
      <c r="O9" s="184">
        <v>2474</v>
      </c>
      <c r="P9" s="184">
        <v>1378</v>
      </c>
      <c r="Q9" s="184">
        <v>1116</v>
      </c>
      <c r="R9" s="184">
        <v>5518</v>
      </c>
      <c r="S9" s="184">
        <v>2834</v>
      </c>
      <c r="T9" s="184">
        <v>5854</v>
      </c>
      <c r="U9" s="184">
        <v>4917</v>
      </c>
      <c r="V9" s="184">
        <v>3767</v>
      </c>
      <c r="W9" s="184">
        <v>1357</v>
      </c>
      <c r="X9" s="191">
        <v>1884</v>
      </c>
      <c r="Y9" s="194">
        <v>117</v>
      </c>
      <c r="Z9" s="184">
        <v>341</v>
      </c>
      <c r="AA9" s="184">
        <v>337</v>
      </c>
      <c r="AB9" s="184">
        <v>121</v>
      </c>
      <c r="AC9" s="184">
        <v>0</v>
      </c>
      <c r="AD9" s="184">
        <v>0</v>
      </c>
      <c r="AE9" s="184">
        <v>0</v>
      </c>
      <c r="AF9" s="191">
        <v>0</v>
      </c>
      <c r="AG9" s="194">
        <v>103</v>
      </c>
      <c r="AH9" s="184">
        <v>407</v>
      </c>
      <c r="AI9" s="184">
        <v>393</v>
      </c>
      <c r="AJ9" s="195">
        <v>117</v>
      </c>
      <c r="AK9" s="183">
        <v>0</v>
      </c>
      <c r="AL9" s="184">
        <v>0</v>
      </c>
      <c r="AM9" s="184">
        <v>0</v>
      </c>
      <c r="AN9" s="191">
        <v>0</v>
      </c>
      <c r="AO9" s="261">
        <v>5</v>
      </c>
      <c r="AP9" s="157">
        <v>5</v>
      </c>
      <c r="AQ9" s="157">
        <v>5</v>
      </c>
      <c r="AR9" s="196">
        <v>5</v>
      </c>
      <c r="AS9" s="341" t="s">
        <v>800</v>
      </c>
      <c r="AT9" s="198"/>
      <c r="AU9" s="197"/>
      <c r="AV9" s="198"/>
      <c r="AW9" s="197"/>
      <c r="AX9" s="198"/>
      <c r="AY9" s="123">
        <f>IF(ISNUMBER(IF(J_V="SI",S9,S9+AG9)),IF(J_V="SI",S9,S9+AG9)," - ")</f>
        <v>2937</v>
      </c>
      <c r="AZ9" s="123">
        <f>IF(ISNUMBER(IF(J_V="SI",T9,T9+AH9)),IF(J_V="SI",T9,T9+AH9)," - ")</f>
        <v>6261</v>
      </c>
      <c r="BA9" s="124">
        <f>IF(ISNUMBER(IF(J_V="SI",U9,U9+AI9)),IF(J_V="SI",U9,U9+AI9)," - ")</f>
        <v>5310</v>
      </c>
      <c r="BB9" s="124">
        <f>IF(ISNUMBER(IF(J_V="SI",V9,V9+AJ9)),IF(J_V="SI",V9,V9+AJ9)," - ")</f>
        <v>3884</v>
      </c>
      <c r="BC9" s="125">
        <f>IF(ISNUMBER(X9),X9," - ")</f>
        <v>1884</v>
      </c>
      <c r="BD9" s="126">
        <f>IF(ISNUMBER(BA9/AZ9),BA9/AZ9," - ")</f>
        <v>0.84810733109726877</v>
      </c>
      <c r="BE9" s="127">
        <f>IF(ISNUMBER(BB9/BA9),BB9/BA9, " - ")</f>
        <v>0.73145009416195861</v>
      </c>
      <c r="BF9" s="127">
        <f>IF(ISNUMBER(BC9/BA9),BC9/BA9, " - ")</f>
        <v>0.35480225988700564</v>
      </c>
      <c r="BG9" s="199">
        <f>IF(ISNUMBER((AY9+AZ9)/BA9),(AY9+AZ9)/BA9," - ")</f>
        <v>1.7322033898305085</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75</v>
      </c>
      <c r="J10" s="184">
        <v>123</v>
      </c>
      <c r="K10" s="184">
        <v>82</v>
      </c>
      <c r="L10" s="184">
        <v>116</v>
      </c>
      <c r="M10" s="184">
        <v>35</v>
      </c>
      <c r="N10" s="184">
        <v>35</v>
      </c>
      <c r="O10" s="184">
        <v>15</v>
      </c>
      <c r="P10" s="184">
        <v>19</v>
      </c>
      <c r="Q10" s="184">
        <v>13</v>
      </c>
      <c r="R10" s="184">
        <v>54</v>
      </c>
      <c r="S10" s="184">
        <v>59</v>
      </c>
      <c r="T10" s="184">
        <v>116</v>
      </c>
      <c r="U10" s="184">
        <v>89</v>
      </c>
      <c r="V10" s="184">
        <v>75</v>
      </c>
      <c r="W10" s="184">
        <v>40</v>
      </c>
      <c r="X10" s="191">
        <v>43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59</v>
      </c>
      <c r="AZ10" s="129">
        <f t="shared" si="0"/>
        <v>116</v>
      </c>
      <c r="BA10" s="129">
        <f t="shared" si="0"/>
        <v>89</v>
      </c>
      <c r="BB10" s="129">
        <f t="shared" si="0"/>
        <v>75</v>
      </c>
      <c r="BC10" s="125">
        <f t="shared" si="0"/>
        <v>40</v>
      </c>
      <c r="BD10" s="126">
        <f>IF(ISNUMBER(BA10/AZ10),BA10/AZ10," - ")</f>
        <v>0.76724137931034486</v>
      </c>
      <c r="BE10" s="127">
        <f>IF(ISNUMBER(BB10/BA10),BB10/BA10, " - ")</f>
        <v>0.84269662921348309</v>
      </c>
      <c r="BF10" s="127">
        <f>IF(ISNUMBER(BC10/BA10),BC10/BA10, " - ")</f>
        <v>0.449438202247191</v>
      </c>
      <c r="BG10" s="199">
        <f>IF(ISNUMBER((AY10+AZ10)/BA10),(AY10+AZ10)/BA10," - ")</f>
        <v>1.9662921348314606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660</v>
      </c>
      <c r="J11" s="186">
        <v>1044</v>
      </c>
      <c r="K11" s="186">
        <v>950</v>
      </c>
      <c r="L11" s="186">
        <v>754</v>
      </c>
      <c r="M11" s="186">
        <v>323</v>
      </c>
      <c r="N11" s="186">
        <v>1475</v>
      </c>
      <c r="O11" s="184">
        <v>303</v>
      </c>
      <c r="P11" s="186">
        <v>105</v>
      </c>
      <c r="Q11" s="186">
        <v>84</v>
      </c>
      <c r="R11" s="186">
        <v>438</v>
      </c>
      <c r="S11" s="186">
        <v>379</v>
      </c>
      <c r="T11" s="186">
        <v>1196</v>
      </c>
      <c r="U11" s="186">
        <v>915</v>
      </c>
      <c r="V11" s="186">
        <v>660</v>
      </c>
      <c r="W11" s="186">
        <v>348</v>
      </c>
      <c r="X11" s="192">
        <v>1436</v>
      </c>
      <c r="Y11" s="194">
        <v>147</v>
      </c>
      <c r="Z11" s="184">
        <v>810</v>
      </c>
      <c r="AA11" s="184">
        <v>768</v>
      </c>
      <c r="AB11" s="184">
        <v>189</v>
      </c>
      <c r="AC11" s="186">
        <v>0</v>
      </c>
      <c r="AD11" s="186">
        <v>0</v>
      </c>
      <c r="AE11" s="186">
        <v>0</v>
      </c>
      <c r="AF11" s="192">
        <v>0</v>
      </c>
      <c r="AG11" s="205">
        <v>112</v>
      </c>
      <c r="AH11" s="186">
        <v>1167</v>
      </c>
      <c r="AI11" s="186">
        <v>1104</v>
      </c>
      <c r="AJ11" s="206">
        <v>147</v>
      </c>
      <c r="AK11" s="185">
        <v>0</v>
      </c>
      <c r="AL11" s="186">
        <v>0</v>
      </c>
      <c r="AM11" s="186">
        <v>0</v>
      </c>
      <c r="AN11" s="192">
        <v>0</v>
      </c>
      <c r="AO11" s="262">
        <v>1</v>
      </c>
      <c r="AP11" s="158">
        <v>1</v>
      </c>
      <c r="AQ11" s="158">
        <v>1</v>
      </c>
      <c r="AR11" s="157">
        <v>1</v>
      </c>
      <c r="AS11" s="343" t="s">
        <v>802</v>
      </c>
      <c r="AT11" s="206"/>
      <c r="AU11" s="205"/>
      <c r="AV11" s="206"/>
      <c r="AW11" s="205"/>
      <c r="AX11" s="206"/>
      <c r="AY11" s="126">
        <f t="shared" ref="AY11:BB12" si="1">IF(ISNUMBER(IF(J_V="SI",S11,S11+AG11)),IF(J_V="SI",S11,S11+AG11)," - ")</f>
        <v>491</v>
      </c>
      <c r="AZ11" s="127">
        <f t="shared" si="1"/>
        <v>2363</v>
      </c>
      <c r="BA11" s="127">
        <f t="shared" si="1"/>
        <v>2019</v>
      </c>
      <c r="BB11" s="127">
        <f t="shared" si="1"/>
        <v>807</v>
      </c>
      <c r="BC11" s="125">
        <f>IF(ISNUMBER(X11),X11," - ")</f>
        <v>1436</v>
      </c>
      <c r="BD11" s="126">
        <f t="shared" ref="BD11:BD12" si="2">IF(ISNUMBER(BA11/AZ11),BA11/AZ11," - ")</f>
        <v>0.85442234447735932</v>
      </c>
      <c r="BE11" s="127">
        <f t="shared" ref="BE11:BE12" si="3">IF(ISNUMBER(BB11/BA11),BB11/BA11, " - ")</f>
        <v>0.399702823179792</v>
      </c>
      <c r="BF11" s="127">
        <f t="shared" ref="BF11:BF12" si="4">IF(ISNUMBER(BC11/BA11),BC11/BA11, " - ")</f>
        <v>0.71124318969787026</v>
      </c>
      <c r="BG11" s="199">
        <f t="shared" ref="BG11:BG12" si="5">IF(ISNUMBER((AY11+AZ11)/BA11),(AY11+AZ11)/BA11," - ")</f>
        <v>1.4135710747894998</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4502</v>
      </c>
      <c r="J13" s="187">
        <f t="shared" si="6"/>
        <v>8134</v>
      </c>
      <c r="K13" s="187">
        <f t="shared" si="6"/>
        <v>6408</v>
      </c>
      <c r="L13" s="187">
        <f t="shared" si="6"/>
        <v>6142</v>
      </c>
      <c r="M13" s="187">
        <f t="shared" si="6"/>
        <v>1885</v>
      </c>
      <c r="N13" s="187">
        <f t="shared" si="6"/>
        <v>3644</v>
      </c>
      <c r="O13" s="187">
        <f t="shared" si="6"/>
        <v>2792</v>
      </c>
      <c r="P13" s="187">
        <f t="shared" si="6"/>
        <v>1502</v>
      </c>
      <c r="Q13" s="187">
        <f t="shared" si="6"/>
        <v>1213</v>
      </c>
      <c r="R13" s="187">
        <f t="shared" si="6"/>
        <v>6010</v>
      </c>
      <c r="S13" s="187">
        <f t="shared" si="6"/>
        <v>3272</v>
      </c>
      <c r="T13" s="187">
        <f t="shared" si="6"/>
        <v>7166</v>
      </c>
      <c r="U13" s="187">
        <f t="shared" si="6"/>
        <v>5921</v>
      </c>
      <c r="V13" s="187">
        <f t="shared" si="6"/>
        <v>4502</v>
      </c>
      <c r="W13" s="187">
        <f t="shared" si="6"/>
        <v>1745</v>
      </c>
      <c r="X13" s="187">
        <f t="shared" si="6"/>
        <v>3363</v>
      </c>
      <c r="Y13" s="187">
        <f t="shared" si="6"/>
        <v>264</v>
      </c>
      <c r="Z13" s="187">
        <f t="shared" si="6"/>
        <v>1151</v>
      </c>
      <c r="AA13" s="187">
        <f t="shared" si="6"/>
        <v>1105</v>
      </c>
      <c r="AB13" s="187">
        <f t="shared" si="6"/>
        <v>310</v>
      </c>
      <c r="AC13" s="187">
        <f t="shared" si="6"/>
        <v>0</v>
      </c>
      <c r="AD13" s="187">
        <f t="shared" si="6"/>
        <v>0</v>
      </c>
      <c r="AE13" s="187">
        <f t="shared" si="6"/>
        <v>0</v>
      </c>
      <c r="AF13" s="187">
        <f>SUBTOTAL(9,AF9:AF12)</f>
        <v>0</v>
      </c>
      <c r="AG13" s="187">
        <f t="shared" ref="AG13:AT13" si="7">SUBTOTAL(9,AG8:AG12)</f>
        <v>215</v>
      </c>
      <c r="AH13" s="187">
        <f t="shared" si="7"/>
        <v>1574</v>
      </c>
      <c r="AI13" s="187">
        <f t="shared" si="7"/>
        <v>1497</v>
      </c>
      <c r="AJ13" s="187">
        <f t="shared" si="7"/>
        <v>264</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3487</v>
      </c>
      <c r="AZ13" s="187">
        <f>SUBTOTAL(9,AZ8:AZ12)</f>
        <v>8740</v>
      </c>
      <c r="BA13" s="187">
        <f>SUBTOTAL(9,BA8:BA12)</f>
        <v>7418</v>
      </c>
      <c r="BB13" s="187">
        <f>SUBTOTAL(9,BB8:BB12)</f>
        <v>4766</v>
      </c>
      <c r="BC13" s="187">
        <f>SUBTOTAL(9,BC8:BC12)</f>
        <v>3360</v>
      </c>
      <c r="BD13" s="208">
        <f>IF(ISNUMBER(BA13/AZ13),BA13/AZ13," - ")</f>
        <v>0.84874141876430209</v>
      </c>
      <c r="BE13" s="209">
        <f>IF(ISNUMBER(BB13/BA13),BB13/BA13, " - ")</f>
        <v>0.64249123753033166</v>
      </c>
      <c r="BF13" s="209">
        <f>IF(ISNUMBER(BC13/BA13),BC13/BA13, " - ")</f>
        <v>0.45295227824211376</v>
      </c>
      <c r="BG13" s="210">
        <f>IF(ISNUMBER((AY13+AZ13)/BA13),(AY13+AZ13)/BA13," - ")</f>
        <v>1.6482879482340254</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2032</v>
      </c>
      <c r="J15" s="186">
        <v>7473</v>
      </c>
      <c r="K15" s="186">
        <v>7099</v>
      </c>
      <c r="L15" s="186">
        <v>2418</v>
      </c>
      <c r="M15" s="186">
        <v>803</v>
      </c>
      <c r="N15" s="186">
        <v>3957</v>
      </c>
      <c r="O15" s="184">
        <v>98</v>
      </c>
      <c r="P15" s="186">
        <v>260</v>
      </c>
      <c r="Q15" s="186">
        <v>169</v>
      </c>
      <c r="R15" s="186">
        <v>285</v>
      </c>
      <c r="S15" s="186">
        <v>1817</v>
      </c>
      <c r="T15" s="186">
        <v>7534</v>
      </c>
      <c r="U15" s="186">
        <v>7134</v>
      </c>
      <c r="V15" s="186">
        <v>2032</v>
      </c>
      <c r="W15" s="186">
        <v>812</v>
      </c>
      <c r="X15" s="192">
        <v>4160</v>
      </c>
      <c r="Y15" s="205">
        <v>0</v>
      </c>
      <c r="Z15" s="186">
        <v>0</v>
      </c>
      <c r="AA15" s="186">
        <v>0</v>
      </c>
      <c r="AB15" s="186">
        <v>0</v>
      </c>
      <c r="AC15" s="186">
        <v>1</v>
      </c>
      <c r="AD15" s="186">
        <v>29</v>
      </c>
      <c r="AE15" s="186">
        <v>29</v>
      </c>
      <c r="AF15" s="192">
        <v>1</v>
      </c>
      <c r="AG15" s="205">
        <v>0</v>
      </c>
      <c r="AH15" s="186">
        <v>0</v>
      </c>
      <c r="AI15" s="186">
        <v>0</v>
      </c>
      <c r="AJ15" s="206">
        <v>0</v>
      </c>
      <c r="AK15" s="185">
        <v>0</v>
      </c>
      <c r="AL15" s="186">
        <v>33</v>
      </c>
      <c r="AM15" s="186">
        <v>32</v>
      </c>
      <c r="AN15" s="192">
        <v>1</v>
      </c>
      <c r="AO15" s="262">
        <v>3</v>
      </c>
      <c r="AP15" s="158">
        <v>3</v>
      </c>
      <c r="AQ15" s="158">
        <v>3</v>
      </c>
      <c r="AR15" s="158">
        <v>3</v>
      </c>
      <c r="AS15" s="343" t="s">
        <v>527</v>
      </c>
      <c r="AT15" s="206" t="s">
        <v>326</v>
      </c>
      <c r="AU15" s="205"/>
      <c r="AV15" s="206"/>
      <c r="AW15" s="205"/>
      <c r="AX15" s="206"/>
      <c r="AY15" s="128">
        <f t="shared" ref="AY15:BB16" si="9">IF(ISNUMBER(IF(D_I="SI",S15,S15+AK15)),IF(D_I="SI",S15,S15+AK15)," - ")</f>
        <v>1817</v>
      </c>
      <c r="AZ15" s="129">
        <f t="shared" si="9"/>
        <v>7534</v>
      </c>
      <c r="BA15" s="129">
        <f t="shared" si="9"/>
        <v>7134</v>
      </c>
      <c r="BB15" s="129">
        <f t="shared" si="9"/>
        <v>2032</v>
      </c>
      <c r="BC15" s="125">
        <f>IF(ISNUMBER(W15),W15," - ")</f>
        <v>812</v>
      </c>
      <c r="BD15" s="126">
        <f>IF(ISNUMBER(BA15/AZ15),BA15/AZ15," - ")</f>
        <v>0.94690735333156362</v>
      </c>
      <c r="BE15" s="127">
        <f>IF(ISNUMBER(BB15/BA15),BB15/BA15, " - ")</f>
        <v>0.28483319315951783</v>
      </c>
      <c r="BF15" s="127">
        <f>IF(ISNUMBER(BC15/BA15),BC15/BA15, " - ")</f>
        <v>0.11382113821138211</v>
      </c>
      <c r="BG15" s="199">
        <f t="shared" ref="BG15:BG16" si="10">IF(ISNUMBER((AY15+AZ15)/BA15),(AY15+AZ15)/BA15," - ")</f>
        <v>1.3107653490328006</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189</v>
      </c>
      <c r="J17" s="186">
        <v>577</v>
      </c>
      <c r="K17" s="186">
        <v>554</v>
      </c>
      <c r="L17" s="186">
        <v>213</v>
      </c>
      <c r="M17" s="186">
        <v>76</v>
      </c>
      <c r="N17" s="186">
        <v>179</v>
      </c>
      <c r="O17" s="186">
        <v>14</v>
      </c>
      <c r="P17" s="186">
        <v>13</v>
      </c>
      <c r="Q17" s="186">
        <v>17</v>
      </c>
      <c r="R17" s="186">
        <v>6</v>
      </c>
      <c r="S17" s="186">
        <v>131</v>
      </c>
      <c r="T17" s="186">
        <v>530</v>
      </c>
      <c r="U17" s="186">
        <v>489</v>
      </c>
      <c r="V17" s="186">
        <v>189</v>
      </c>
      <c r="W17" s="186">
        <v>51</v>
      </c>
      <c r="X17" s="192">
        <v>190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131</v>
      </c>
      <c r="AZ17" s="129">
        <f t="shared" si="14"/>
        <v>530</v>
      </c>
      <c r="BA17" s="129">
        <f t="shared" si="14"/>
        <v>489</v>
      </c>
      <c r="BB17" s="129">
        <f t="shared" si="14"/>
        <v>189</v>
      </c>
      <c r="BC17" s="125">
        <f>IF(ISNUMBER(W17),W17," - ")</f>
        <v>51</v>
      </c>
      <c r="BD17" s="126">
        <f>IF(ISNUMBER(BA17/AZ17),BA17/AZ17," - ")</f>
        <v>0.92264150943396228</v>
      </c>
      <c r="BE17" s="127">
        <f>IF(ISNUMBER(BB17/BA17),BB17/BA17, " - ")</f>
        <v>0.38650306748466257</v>
      </c>
      <c r="BF17" s="127">
        <f>IF(ISNUMBER(BC17/BA17),BC17/BA17, " - ")</f>
        <v>0.10429447852760736</v>
      </c>
      <c r="BG17" s="199">
        <f>IF(ISNUMBER((AY17+AZ17)/BA17),(AY17+AZ17)/BA17," - ")</f>
        <v>1.3517382413087935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2221</v>
      </c>
      <c r="J18" s="187">
        <f t="shared" si="15"/>
        <v>8050</v>
      </c>
      <c r="K18" s="187">
        <f t="shared" si="15"/>
        <v>7653</v>
      </c>
      <c r="L18" s="187">
        <f t="shared" si="15"/>
        <v>2631</v>
      </c>
      <c r="M18" s="187">
        <f t="shared" si="15"/>
        <v>879</v>
      </c>
      <c r="N18" s="187">
        <f t="shared" si="15"/>
        <v>4136</v>
      </c>
      <c r="O18" s="187">
        <f t="shared" si="15"/>
        <v>112</v>
      </c>
      <c r="P18" s="187">
        <f t="shared" si="15"/>
        <v>273</v>
      </c>
      <c r="Q18" s="187">
        <f t="shared" si="15"/>
        <v>186</v>
      </c>
      <c r="R18" s="187">
        <f t="shared" si="15"/>
        <v>291</v>
      </c>
      <c r="S18" s="187">
        <f t="shared" si="15"/>
        <v>1948</v>
      </c>
      <c r="T18" s="187">
        <f t="shared" si="15"/>
        <v>8064</v>
      </c>
      <c r="U18" s="187">
        <f t="shared" si="15"/>
        <v>7623</v>
      </c>
      <c r="V18" s="187">
        <f t="shared" si="15"/>
        <v>2221</v>
      </c>
      <c r="W18" s="187">
        <f t="shared" si="15"/>
        <v>863</v>
      </c>
      <c r="X18" s="187">
        <f t="shared" si="15"/>
        <v>4350</v>
      </c>
      <c r="Y18" s="187">
        <f t="shared" si="15"/>
        <v>0</v>
      </c>
      <c r="Z18" s="187">
        <f t="shared" si="15"/>
        <v>0</v>
      </c>
      <c r="AA18" s="187">
        <f t="shared" si="15"/>
        <v>0</v>
      </c>
      <c r="AB18" s="187">
        <f t="shared" si="15"/>
        <v>0</v>
      </c>
      <c r="AC18" s="187">
        <f t="shared" si="15"/>
        <v>1</v>
      </c>
      <c r="AD18" s="187">
        <f t="shared" si="15"/>
        <v>29</v>
      </c>
      <c r="AE18" s="187">
        <f t="shared" si="15"/>
        <v>29</v>
      </c>
      <c r="AF18" s="187">
        <f t="shared" si="15"/>
        <v>1</v>
      </c>
      <c r="AG18" s="187">
        <f t="shared" si="15"/>
        <v>0</v>
      </c>
      <c r="AH18" s="187">
        <f t="shared" si="15"/>
        <v>0</v>
      </c>
      <c r="AI18" s="187">
        <f t="shared" si="15"/>
        <v>0</v>
      </c>
      <c r="AJ18" s="187">
        <f t="shared" si="15"/>
        <v>0</v>
      </c>
      <c r="AK18" s="187">
        <f t="shared" si="15"/>
        <v>0</v>
      </c>
      <c r="AL18" s="187">
        <f t="shared" si="15"/>
        <v>33</v>
      </c>
      <c r="AM18" s="187">
        <f t="shared" si="15"/>
        <v>32</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1948</v>
      </c>
      <c r="AZ18" s="187">
        <f>SUBTOTAL(9,AZ14:AZ17)</f>
        <v>8064</v>
      </c>
      <c r="BA18" s="187">
        <f>SUBTOTAL(9,BA14:BA17)</f>
        <v>7623</v>
      </c>
      <c r="BB18" s="187">
        <f>SUBTOTAL(9,BB14:BB17)</f>
        <v>2221</v>
      </c>
      <c r="BC18" s="187">
        <f>SUBTOTAL(9,BC14:BC17)</f>
        <v>863</v>
      </c>
      <c r="BD18" s="208">
        <f>IF(ISNUMBER(BA18/AZ18),BA18/AZ18," - ")</f>
        <v>0.9453125</v>
      </c>
      <c r="BE18" s="209">
        <f>IF(ISNUMBER(BB18/BA18),BB18/BA18, " - ")</f>
        <v>0.29135510953692773</v>
      </c>
      <c r="BF18" s="209">
        <f>IF(ISNUMBER(BC18/BA18),BC18/BA18, " - ")</f>
        <v>0.1132100223009314</v>
      </c>
      <c r="BG18" s="210">
        <f>IF(ISNUMBER((AY18+AZ18)/BA18),(AY18+AZ18)/BA18," - ")</f>
        <v>1.3133936770300407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6723</v>
      </c>
      <c r="J19" s="134">
        <f t="shared" si="18"/>
        <v>16184</v>
      </c>
      <c r="K19" s="134">
        <f t="shared" si="18"/>
        <v>14061</v>
      </c>
      <c r="L19" s="134">
        <f t="shared" si="18"/>
        <v>8773</v>
      </c>
      <c r="M19" s="134">
        <f t="shared" si="18"/>
        <v>2764</v>
      </c>
      <c r="N19" s="134">
        <f t="shared" si="18"/>
        <v>7780</v>
      </c>
      <c r="O19" s="134">
        <f t="shared" si="18"/>
        <v>2904</v>
      </c>
      <c r="P19" s="134">
        <f t="shared" si="18"/>
        <v>1775</v>
      </c>
      <c r="Q19" s="134">
        <f t="shared" si="18"/>
        <v>1399</v>
      </c>
      <c r="R19" s="134">
        <f t="shared" si="18"/>
        <v>6301</v>
      </c>
      <c r="S19" s="134">
        <f t="shared" si="18"/>
        <v>5220</v>
      </c>
      <c r="T19" s="134">
        <f t="shared" si="18"/>
        <v>15230</v>
      </c>
      <c r="U19" s="134">
        <f t="shared" si="18"/>
        <v>13544</v>
      </c>
      <c r="V19" s="134">
        <f t="shared" si="18"/>
        <v>6723</v>
      </c>
      <c r="W19" s="134">
        <f t="shared" si="18"/>
        <v>2608</v>
      </c>
      <c r="X19" s="134">
        <f t="shared" si="18"/>
        <v>7713</v>
      </c>
      <c r="Y19" s="134">
        <f t="shared" si="18"/>
        <v>264</v>
      </c>
      <c r="Z19" s="134">
        <f t="shared" si="18"/>
        <v>1151</v>
      </c>
      <c r="AA19" s="134">
        <f t="shared" si="18"/>
        <v>1105</v>
      </c>
      <c r="AB19" s="134">
        <f t="shared" si="18"/>
        <v>310</v>
      </c>
      <c r="AC19" s="134">
        <f t="shared" si="18"/>
        <v>1</v>
      </c>
      <c r="AD19" s="134">
        <f t="shared" si="18"/>
        <v>29</v>
      </c>
      <c r="AE19" s="134">
        <f t="shared" si="18"/>
        <v>29</v>
      </c>
      <c r="AF19" s="134">
        <f t="shared" si="18"/>
        <v>1</v>
      </c>
      <c r="AG19" s="134">
        <f t="shared" si="18"/>
        <v>215</v>
      </c>
      <c r="AH19" s="134">
        <f t="shared" si="18"/>
        <v>1574</v>
      </c>
      <c r="AI19" s="134">
        <f t="shared" si="18"/>
        <v>1497</v>
      </c>
      <c r="AJ19" s="134">
        <f t="shared" si="18"/>
        <v>264</v>
      </c>
      <c r="AK19" s="134">
        <f t="shared" si="18"/>
        <v>0</v>
      </c>
      <c r="AL19" s="134">
        <f t="shared" si="18"/>
        <v>33</v>
      </c>
      <c r="AM19" s="134">
        <f t="shared" si="18"/>
        <v>32</v>
      </c>
      <c r="AN19" s="213">
        <f t="shared" si="18"/>
        <v>1</v>
      </c>
      <c r="AO19" s="214">
        <v>10</v>
      </c>
      <c r="AP19" s="214">
        <v>9</v>
      </c>
      <c r="AQ19" s="214">
        <v>9</v>
      </c>
      <c r="AR19" s="214">
        <v>9</v>
      </c>
      <c r="AS19" s="156">
        <f t="shared" si="18"/>
        <v>0</v>
      </c>
      <c r="AT19" s="156">
        <f t="shared" si="18"/>
        <v>0</v>
      </c>
      <c r="AU19" s="214"/>
      <c r="AV19" s="215"/>
      <c r="AW19" s="214"/>
      <c r="AX19" s="215"/>
      <c r="AY19" s="133">
        <f>SUBTOTAL(9,AY9:AY18)</f>
        <v>5435</v>
      </c>
      <c r="AZ19" s="134">
        <f>SUBTOTAL(9,AZ9:AZ18)</f>
        <v>16804</v>
      </c>
      <c r="BA19" s="134">
        <f>SUBTOTAL(9,BA9:BA18)</f>
        <v>15041</v>
      </c>
      <c r="BB19" s="134">
        <f>SUBTOTAL(9,BB9:BB18)</f>
        <v>6987</v>
      </c>
      <c r="BC19" s="135">
        <f>SUBTOTAL(9,BC9:BC18)</f>
        <v>4223</v>
      </c>
      <c r="BD19" s="216">
        <f>IF(ISNUMBER(BA19/AZ19),BA19/AZ19," - ")</f>
        <v>0.89508450368959769</v>
      </c>
      <c r="BE19" s="213">
        <f>IF(ISNUMBER(BB19/BA19),BB19/BA19, " - ")</f>
        <v>0.46453028389069878</v>
      </c>
      <c r="BF19" s="213">
        <f>IF(ISNUMBER(BC19/BA19),BC19/BA19, " - ")</f>
        <v>0.2807659065221727</v>
      </c>
      <c r="BG19" s="135">
        <f>IF(ISNUMBER((AY19+AZ19)/BA19),(AY19+AZ19)/BA19," - ")</f>
        <v>1.4785586064756333</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uT3Zm20ADGRs1TFaRe5bYRsoS9MmcYQKTQWrXI4gArx1So0M12XOdYGIpLzldoQjCN5UzePRnmtDIwYYD1AGA==" saltValue="hFHf5lFZZdc8z7NgZ51F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egNcV0IgsWMsNouJIcrF+aIOg1d7XULJXK4HnalECXbHje3HhFUA9dXF2kp2HU5CrVPEYGpGUHMg1p/S9HIaA==" saltValue="vGi+kPZY4Xb/WdnzyERy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SANTIAGO DE COMPOSTELA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341</v>
      </c>
      <c r="O9" s="337"/>
      <c r="P9" s="337"/>
      <c r="Q9" s="229">
        <f>IF(ISNUMBER(Datos!P9),Datos!P9,0)</f>
        <v>1378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1116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121</v>
      </c>
      <c r="AI9" s="337" t="str">
        <f>IF(ISNUMBER(Datos!CD9),Datos!CD9,"-")</f>
        <v>-</v>
      </c>
      <c r="AJ9" s="337" t="str">
        <f>IF(ISNUMBER(Datos!EN9),Datos!EN9," - ")</f>
        <v xml:space="preserve"> - </v>
      </c>
      <c r="AK9" s="337"/>
      <c r="AL9" s="482"/>
      <c r="AM9" s="338">
        <f>IF(ISNUMBER(Datos!R9),Datos!R9," - ")</f>
        <v>5518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1527</v>
      </c>
      <c r="BD9" s="232">
        <f>IF(ISNUMBER(Datos!N9),Datos!N9," - ")</f>
        <v>2134</v>
      </c>
      <c r="BE9" s="232" t="str">
        <f>IF(ISNUMBER(Datos!BW9),Datos!BW9," - ")</f>
        <v xml:space="preserve"> - </v>
      </c>
      <c r="BF9" s="231" t="str">
        <f>IF(ISNUMBER(Datos!BX9),Datos!BX9," - ")</f>
        <v xml:space="preserve"> - </v>
      </c>
      <c r="BG9" s="246">
        <f>IF(ISNUMBER(IF(J_V="SI",Datos!K9/Datos!J9,(Datos!K9+Datos!AA9)/(Datos!J9+Datos!Z9))),IF(J_V="SI",Datos!K9/Datos!J9,(Datos!K9+Datos!AA9)/(Datos!J9+Datos!Z9))," - ")</f>
        <v>0.78174603174603174</v>
      </c>
      <c r="BH9" s="263">
        <f>IF(ISNUMBER(((IF(J_V="SI",Datos!L9/Datos!K9,(Datos!L9+Datos!AB9)/(Datos!K9+Datos!AA9)))*11)/factor_trimestre),((IF(J_V="SI",Datos!L9/Datos!K9,(Datos!L9+Datos!AB9)/(Datos!K9+Datos!AA9)))*11)/factor_trimestre," - ")</f>
        <v>10.383861368807981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4.9847792998477927E-2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75</v>
      </c>
      <c r="G10" s="336">
        <f>IF(ISNUMBER(Datos!I10),Datos!I10," - ")</f>
        <v>75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82</v>
      </c>
      <c r="AC10" s="229">
        <f>IF(ISNUMBER(Datos!Q10),Datos!Q10," - ")</f>
        <v>13</v>
      </c>
      <c r="AD10" s="337"/>
      <c r="AE10" s="487"/>
      <c r="AF10" s="335">
        <f>IF(ISNUMBER(Datos!L10),Datos!L10,"-")</f>
        <v>116</v>
      </c>
      <c r="AG10" s="337"/>
      <c r="AH10" s="337"/>
      <c r="AI10" s="337"/>
      <c r="AJ10" s="337"/>
      <c r="AK10" s="337"/>
      <c r="AL10" s="482"/>
      <c r="AM10" s="338">
        <f>IF(ISNUMBER(Datos!R10),Datos!R10," - ")</f>
        <v>54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35</v>
      </c>
      <c r="BD10" s="232">
        <f>IF(ISNUMBER(Datos!N10),Datos!N10," - ")</f>
        <v>35</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15.560975609756097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246</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810</v>
      </c>
      <c r="O11" s="337"/>
      <c r="P11" s="337"/>
      <c r="Q11" s="229">
        <f>IF(ISNUMBER(Datos!P11),Datos!P11,0)</f>
        <v>105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84</v>
      </c>
      <c r="AD11" s="337"/>
      <c r="AE11" s="487"/>
      <c r="AF11" s="335" t="str">
        <f>IF(ISNUMBER(IF(J_V="SI",Datos!L11,Datos!L11+Datos!AB11)-IF(Monitorios="SI",Datos!CD11,0)),
                          IF(J_V="SI",Datos!L11,Datos!L11+Datos!AB11)-IF(Monitorios="SI",Datos!CD11,0),
                          " - ")</f>
        <v xml:space="preserve"> - </v>
      </c>
      <c r="AG11" s="337"/>
      <c r="AH11" s="337">
        <f>IF(ISNUMBER(Datos!AB11),Datos!AB11,"-")</f>
        <v>189</v>
      </c>
      <c r="AI11" s="337"/>
      <c r="AJ11" s="337"/>
      <c r="AK11" s="337"/>
      <c r="AL11" s="482"/>
      <c r="AM11" s="338">
        <f>IF(ISNUMBER(Datos!R11),Datos!R11," - ")</f>
        <v>438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323</v>
      </c>
      <c r="BD11" s="232">
        <f>IF(ISNUMBER(Datos!N11),Datos!N11," - ")</f>
        <v>1475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0.9266450916936354</v>
      </c>
      <c r="BH11" s="263">
        <f>IF(ISNUMBER(((IF(J_V="SI",Datos!L11/Datos!K11,(Datos!L11+Datos!AB11)/(Datos!K11+Datos!AA11)))*11)/factor_trimestre),((IF(J_V="SI",Datos!L11/Datos!K11,(Datos!L11+Datos!AB11)/(Datos!K11+Datos!AA11)))*11)/factor_trimestre," - ")</f>
        <v>6.0378346915017467</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5.0359712230215826E-2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75</v>
      </c>
      <c r="G13" s="901">
        <f t="shared" si="0"/>
        <v>75</v>
      </c>
      <c r="H13" s="902">
        <f t="shared" si="0"/>
        <v>0</v>
      </c>
      <c r="I13" s="901">
        <f t="shared" si="0"/>
        <v>0</v>
      </c>
      <c r="J13" s="870">
        <f t="shared" si="0"/>
        <v>0</v>
      </c>
      <c r="K13" s="870">
        <f t="shared" si="0"/>
        <v>0</v>
      </c>
      <c r="L13" s="902">
        <f t="shared" si="0"/>
        <v>0</v>
      </c>
      <c r="M13" s="902">
        <f t="shared" si="0"/>
        <v>0</v>
      </c>
      <c r="N13" s="902">
        <f t="shared" si="0"/>
        <v>1151</v>
      </c>
      <c r="O13" s="903">
        <f t="shared" si="0"/>
        <v>0</v>
      </c>
      <c r="P13" s="903">
        <f t="shared" si="0"/>
        <v>0</v>
      </c>
      <c r="Q13" s="902">
        <f t="shared" si="0"/>
        <v>1502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82</v>
      </c>
      <c r="AC13" s="902">
        <f t="shared" si="1"/>
        <v>1213</v>
      </c>
      <c r="AD13" s="902">
        <f t="shared" si="1"/>
        <v>0</v>
      </c>
      <c r="AE13" s="902">
        <f t="shared" si="1"/>
        <v>0</v>
      </c>
      <c r="AF13" s="902">
        <f t="shared" si="1"/>
        <v>116</v>
      </c>
      <c r="AG13" s="902">
        <f t="shared" si="1"/>
        <v>0</v>
      </c>
      <c r="AH13" s="902">
        <f t="shared" si="1"/>
        <v>310</v>
      </c>
      <c r="AI13" s="902">
        <f t="shared" si="1"/>
        <v>0</v>
      </c>
      <c r="AJ13" s="902">
        <f t="shared" si="1"/>
        <v>0</v>
      </c>
      <c r="AK13" s="902">
        <f t="shared" si="1"/>
        <v>0</v>
      </c>
      <c r="AL13" s="902">
        <f t="shared" si="1"/>
        <v>0</v>
      </c>
      <c r="AM13" s="902">
        <f t="shared" si="1"/>
        <v>6010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1885</v>
      </c>
      <c r="BD13" s="902">
        <f t="shared" si="1"/>
        <v>3644</v>
      </c>
      <c r="BE13" s="902">
        <f t="shared" si="1"/>
        <v>0</v>
      </c>
      <c r="BF13" s="902">
        <f t="shared" si="1"/>
        <v>0</v>
      </c>
      <c r="BG13" s="902">
        <f>IF(ISNUMBER(Datos!K13/Datos!J13),Datos!K13/Datos!J13," - ")</f>
        <v>0.78780427833784117</v>
      </c>
      <c r="BH13" s="906">
        <f>IF(ISNUMBER(((Datos!L13/Datos!K13)*11)/factor_trimestre),((Datos!L13/Datos!K13)*11)/factor_trimestre," - ")</f>
        <v>10.54338327091136</v>
      </c>
      <c r="BI13" s="902">
        <f>IF(ISNUMBER('Resol  Asuntos'!D13/NºAsuntos!G13),'Resol  Asuntos'!D13/NºAsuntos!G13," - ")</f>
        <v>0.25089844269932116</v>
      </c>
      <c r="BJ13" s="902" t="str">
        <f>IF(ISNUMBER(Datos!CI13/Datos!CJ13),Datos!CI13/Datos!CJ13," - ")</f>
        <v xml:space="preserve"> - </v>
      </c>
      <c r="BK13" s="902">
        <f>SUBTOTAL(9,BK8:BK12)</f>
        <v>0</v>
      </c>
      <c r="BL13" s="902">
        <f>IF(ISNUMBER((I13-AB13+L13)/(F13)),(I13-AB13+L13)/(F13)," - ")</f>
        <v>-1.0933333333333333</v>
      </c>
      <c r="BM13" s="907">
        <f>SUBTOTAL(9,BM9:BM12)</f>
        <v>0.22520750522869373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396</v>
      </c>
      <c r="C15" s="603" t="str">
        <f>Datos!A15</f>
        <v xml:space="preserve">Jdos. Instrucción                               </v>
      </c>
      <c r="D15" s="604"/>
      <c r="E15" s="1168">
        <f>IF(ISNUMBER(Datos!AQ15),Datos!AQ15," - ")</f>
        <v>3</v>
      </c>
      <c r="F15" s="598">
        <f>IF(ISNUMBER(AF15+AB15-Datos!J15-L15),AF15+AB15-Datos!J15-L15," - ")</f>
        <v>2044</v>
      </c>
      <c r="G15" s="601">
        <f>IF(ISNUMBER(IF(D_I="SI",Datos!I15,Datos!I15+Datos!AC15)),IF(D_I="SI",Datos!I15,Datos!I15+Datos!AC15)," - ")</f>
        <v>2032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260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7099</v>
      </c>
      <c r="AC15" s="229">
        <f>IF(ISNUMBER(Datos!Q15),Datos!Q15," - ")</f>
        <v>169</v>
      </c>
      <c r="AD15" s="337"/>
      <c r="AE15" s="487"/>
      <c r="AF15" s="599">
        <f>IF(ISNUMBER(IF(D_I="SI",Datos!L15,Datos!L15+Datos!AF15)),IF(D_I="SI",Datos!L15,Datos!L15+Datos!AF15)," - ")</f>
        <v>2418</v>
      </c>
      <c r="AG15" s="337"/>
      <c r="AH15" s="337"/>
      <c r="AI15" s="337"/>
      <c r="AJ15" s="337"/>
      <c r="AK15" s="337"/>
      <c r="AL15" s="482"/>
      <c r="AM15" s="338">
        <f>IF(ISNUMBER(Datos!R15),Datos!R15," - ")</f>
        <v>285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803</v>
      </c>
      <c r="BD15" s="232">
        <f>IF(ISNUMBER(Datos!N15),Datos!N15," - ")</f>
        <v>3957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0.94995316472634816</v>
      </c>
      <c r="BH15" s="263">
        <f>IF(ISNUMBER(((IF(D_I="SI",Datos!L15/Datos!K15,(Datos!L15+Datos!AF15)/(Datos!K15+Datos!AE15)))*11)/factor_trimestre),((IF(D_I="SI",Datos!L15/Datos!K15,(Datos!L15+Datos!AF15)/(Datos!K15+Datos!AE15)))*11)/factor_trimestre," - ")</f>
        <v>3.7467248908296944</v>
      </c>
      <c r="BI15" s="246">
        <f>IF(ISNUMBER('Resol  Asuntos'!D15/NºAsuntos!G15),'Resol  Asuntos'!D15/NºAsuntos!G15," - ")</f>
        <v>0.11311452317227778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189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554</v>
      </c>
      <c r="AC17" s="229">
        <f>IF(ISNUMBER(Datos!Q17),Datos!Q17," - ")</f>
        <v>17</v>
      </c>
      <c r="AD17" s="337"/>
      <c r="AE17" s="487"/>
      <c r="AF17" s="335">
        <f>IF(ISNUMBER(Datos!L17),Datos!L17,"-")</f>
        <v>213</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76</v>
      </c>
      <c r="BD17" s="232">
        <f>IF(ISNUMBER(Datos!N17),Datos!N17," - ")</f>
        <v>179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0.96013864818024264</v>
      </c>
      <c r="BH17" s="263">
        <f>IF(ISNUMBER(((IF(D_I="SI",Datos!L17/Datos!K17,(Datos!L17+Datos!AF17)/(Datos!K17+Datos!AE17)))*11)/factor_trimestre),((IF(D_I="SI",Datos!L17/Datos!K17,(Datos!L17+Datos!AF17)/(Datos!K17+Datos!AE17)))*11)/factor_trimestre," - ")</f>
        <v>4.2292418772563183</v>
      </c>
      <c r="BI17" s="246">
        <f>IF(ISNUMBER('Resol  Asuntos'!D17/NºAsuntos!G17),'Resol  Asuntos'!D17/NºAsuntos!G17," - ")</f>
        <v>0.13718411552346571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2044</v>
      </c>
      <c r="G18" s="901">
        <f>SUBTOTAL(9,G15:G17)</f>
        <v>2221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7653</v>
      </c>
      <c r="AC18" s="902">
        <f t="shared" si="4"/>
        <v>186</v>
      </c>
      <c r="AD18" s="902">
        <f t="shared" si="4"/>
        <v>0</v>
      </c>
      <c r="AE18" s="902">
        <f t="shared" si="4"/>
        <v>0</v>
      </c>
      <c r="AF18" s="902">
        <f t="shared" si="4"/>
        <v>2631</v>
      </c>
      <c r="AG18" s="902">
        <f t="shared" si="4"/>
        <v>0</v>
      </c>
      <c r="AH18" s="902">
        <f t="shared" si="4"/>
        <v>0</v>
      </c>
      <c r="AI18" s="902">
        <f t="shared" si="4"/>
        <v>0</v>
      </c>
      <c r="AJ18" s="902">
        <f t="shared" si="4"/>
        <v>0</v>
      </c>
      <c r="AK18" s="902">
        <f t="shared" si="4"/>
        <v>0</v>
      </c>
      <c r="AL18" s="902">
        <f t="shared" si="4"/>
        <v>0</v>
      </c>
      <c r="AM18" s="902">
        <f t="shared" si="4"/>
        <v>291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879</v>
      </c>
      <c r="BD18" s="902">
        <f t="shared" si="4"/>
        <v>4136</v>
      </c>
      <c r="BE18" s="902">
        <f t="shared" si="4"/>
        <v>0</v>
      </c>
      <c r="BF18" s="902">
        <f t="shared" si="4"/>
        <v>0</v>
      </c>
      <c r="BG18" s="902">
        <f>IF(ISNUMBER(Datos!K18/Datos!J18),Datos!K18/Datos!J18," - ")</f>
        <v>0.9506832298136646</v>
      </c>
      <c r="BH18" s="906">
        <f>IF(ISNUMBER(((Datos!L18/Datos!K18)*11)/factor_trimestre),((Datos!L18/Datos!K18)*11)/factor_trimestre," - ")</f>
        <v>3.7816542532340258</v>
      </c>
      <c r="BI18" s="902">
        <f>SUBTOTAL(9,BI15:BI17)</f>
        <v>0.25029863869574348</v>
      </c>
      <c r="BJ18" s="902">
        <f>SUBTOTAL(9,BJ15:BJ17)</f>
        <v>0</v>
      </c>
      <c r="BK18" s="902">
        <f>SUBTOTAL(9,BK15:BK17)</f>
        <v>0</v>
      </c>
      <c r="BL18" s="902">
        <f>IF(ISNUMBER((I18-AB18+L18)/(F18)),(I18-AB18+L18)/(F18)," - ")</f>
        <v>-3.7441291585127203</v>
      </c>
      <c r="BM18" s="908">
        <f>IF(ISNUMBER((Datos!P18-Datos!Q18)/(Datos!R18-Datos!P18+Datos!Q18)),(Datos!P18-Datos!Q18)/(Datos!R18-Datos!P18+Datos!Q18)," - ")</f>
        <v>0.4264705882352941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9</v>
      </c>
      <c r="F19" s="823">
        <f t="shared" si="6"/>
        <v>2119</v>
      </c>
      <c r="G19" s="823">
        <f t="shared" si="6"/>
        <v>2296</v>
      </c>
      <c r="H19" s="825">
        <f t="shared" si="6"/>
        <v>0</v>
      </c>
      <c r="I19" s="823">
        <f t="shared" si="6"/>
        <v>0</v>
      </c>
      <c r="J19" s="825">
        <f t="shared" si="6"/>
        <v>0</v>
      </c>
      <c r="K19" s="825">
        <f t="shared" si="6"/>
        <v>0</v>
      </c>
      <c r="L19" s="884">
        <f t="shared" si="6"/>
        <v>0</v>
      </c>
      <c r="M19" s="884">
        <f t="shared" si="6"/>
        <v>0</v>
      </c>
      <c r="N19" s="884">
        <f t="shared" si="6"/>
        <v>1151</v>
      </c>
      <c r="O19" s="884">
        <f t="shared" si="6"/>
        <v>0</v>
      </c>
      <c r="P19" s="884">
        <f t="shared" si="6"/>
        <v>0</v>
      </c>
      <c r="Q19" s="825">
        <f t="shared" si="6"/>
        <v>1775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7735</v>
      </c>
      <c r="AC19" s="824">
        <f t="shared" si="7"/>
        <v>1399</v>
      </c>
      <c r="AD19" s="824">
        <f t="shared" si="7"/>
        <v>0</v>
      </c>
      <c r="AE19" s="824">
        <f t="shared" si="7"/>
        <v>0</v>
      </c>
      <c r="AF19" s="831">
        <f t="shared" si="7"/>
        <v>2747</v>
      </c>
      <c r="AG19" s="831">
        <f t="shared" si="7"/>
        <v>0</v>
      </c>
      <c r="AH19" s="831">
        <f t="shared" si="7"/>
        <v>310</v>
      </c>
      <c r="AI19" s="831">
        <f t="shared" si="7"/>
        <v>0</v>
      </c>
      <c r="AJ19" s="824">
        <f t="shared" si="7"/>
        <v>0</v>
      </c>
      <c r="AK19" s="831">
        <f t="shared" si="7"/>
        <v>0</v>
      </c>
      <c r="AL19" s="831">
        <f t="shared" si="7"/>
        <v>0</v>
      </c>
      <c r="AM19" s="831">
        <f t="shared" si="7"/>
        <v>6301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2764</v>
      </c>
      <c r="BD19" s="823">
        <f t="shared" si="7"/>
        <v>7780</v>
      </c>
      <c r="BE19" s="823">
        <f t="shared" si="7"/>
        <v>0</v>
      </c>
      <c r="BF19" s="833">
        <f t="shared" si="7"/>
        <v>0</v>
      </c>
      <c r="BG19" s="918">
        <f>IF(ISNUMBER(Datos!K19/Datos!J19),Datos!K19/Datos!J19," - ")</f>
        <v>0.86882105783489871</v>
      </c>
      <c r="BH19" s="918">
        <f>IF(ISNUMBER(((Datos!L19/Datos!K19)*11)/factor_trimestre),((Datos!L19/Datos!K19)*11)/factor_trimestre," - ")</f>
        <v>6.8631676267690773</v>
      </c>
      <c r="BI19" s="816">
        <f>IF(ISNUMBER(Datos!J19/Datos!I19),Datos!J19/Datos!I19," - ")</f>
        <v>2.4072586642867768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-3.6503067484662575</v>
      </c>
      <c r="BM19" s="892">
        <f>IF(ISNUMBER((Datos!P19-Datos!Q19+R19)/(Datos!R19-Datos!P19+Datos!Q19-R19)),(Datos!P19-Datos!Q19+R19)/(Datos!R19-Datos!P19+Datos!Q19-R19)," - ")</f>
        <v>6.3459915611814341E-2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918.4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2.3452078799117149</v>
      </c>
      <c r="F21" s="554">
        <f>IF(ISNUMBER(STDEV(F8:F18)),STDEV(F8:F18),"-")</f>
        <v>1136.802680034373</v>
      </c>
      <c r="G21" s="555">
        <f>IF(ISNUMBER(STDEV(G8:G18)),STDEV(G8:G18),"-")</f>
        <v>1105.841670403137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3918.5582169976751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712.76380245859707</v>
      </c>
      <c r="BD21" s="554"/>
      <c r="BE21" s="554">
        <f>IF(ISNUMBER(STDEV(BE8:BE18)),STDEV(BE8:BE18),"-")</f>
        <v>0</v>
      </c>
      <c r="BF21" s="559">
        <f>IF(ISNUMBER(STDEV(BF8:BF18)),STDEV(BF8:BF18),"-")</f>
        <v>0</v>
      </c>
      <c r="BG21" s="778">
        <f>IF(ISNUMBER(STDEV(BG8:BG18)),STDEV(BG8:BG18),"-")</f>
        <v>0.11510584323042967</v>
      </c>
      <c r="BH21" s="779">
        <f>IF(ISNUMBER(STDEV(BH8:BH18)),STDEV(BH8:BH18),"-")</f>
        <v>4.5249792106800042</v>
      </c>
      <c r="BI21" s="252">
        <f>IF(ISNUMBER(STDEV(BI8:BI18)),STDEV(BI8:BI18),"-")</f>
        <v>7.3092087254443758E-2</v>
      </c>
      <c r="BJ21" s="233" t="str">
        <f>IF(ISNUMBER(BL21/BM21),BL21/BM21," - ")</f>
        <v xml:space="preserve"> - </v>
      </c>
      <c r="BK21" s="578"/>
      <c r="BL21" s="562">
        <f>IF(ISNUMBER(STDEV(BL8:BL18)),STDEV(BL8:BL18),"-")</f>
        <v>1.8743957035253334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IycxWjmLCEOVUV0599Czq4xcxKNwXCCXxTOS8JIT44Y2ZL9r6pfDGGMh5zXTRcQKeMUKTdMOplPdvmo7yvNWA==" saltValue="KFHDc8SYOwfL/5JOidlk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SANTIAGO DE COMPOSTELA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1378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1116</v>
      </c>
      <c r="AA9" s="335" t="str">
        <f>IF(ISNUMBER(IF(J_V="SI",Datos!L9,Datos!L9+Datos!AB9)-IF(Monitorios="SI",Datos!CD9,0)),
                          IF(J_V="SI",Datos!L9,Datos!L9+Datos!AB9)-IF(Monitorios="SI",Datos!CD9,0),
                          " - ")</f>
        <v xml:space="preserve"> - </v>
      </c>
      <c r="AB9" s="337"/>
      <c r="AC9" s="337"/>
      <c r="AD9" s="487"/>
      <c r="AE9" s="487">
        <f>IF(ISNUMBER(Datos!R9),Datos!R9," - ")</f>
        <v>5518</v>
      </c>
      <c r="AF9" s="232" t="str">
        <f>IF(ISNUMBER(Datos!BV9),Datos!BV9," - ")</f>
        <v xml:space="preserve"> - </v>
      </c>
      <c r="AG9" s="228" t="str">
        <f>IF(ISNUMBER(Datos!DV9),Datos!DV9," - ")</f>
        <v xml:space="preserve"> - </v>
      </c>
      <c r="AH9" s="301"/>
      <c r="AI9" s="230"/>
      <c r="AJ9" s="228">
        <f>IF(ISNUMBER(Datos!M9),Datos!M9," - ")</f>
        <v>1527</v>
      </c>
      <c r="AK9" s="232">
        <f>IF(ISNUMBER(Datos!N9),Datos!N9," - ")</f>
        <v>2134</v>
      </c>
      <c r="AL9" s="232" t="str">
        <f>IF(ISNUMBER(Datos!BW9),Datos!BW9," - ")</f>
        <v xml:space="preserve"> - </v>
      </c>
      <c r="AM9" s="231" t="str">
        <f>IF(ISNUMBER(Datos!BX9),Datos!BX9," - ")</f>
        <v xml:space="preserve"> - </v>
      </c>
      <c r="AN9" s="246"/>
      <c r="AO9" s="263">
        <f>IF(ISNUMBER(((NºAsuntos!I9/NºAsuntos!G9)*11)/factor_trimestre),((NºAsuntos!I9/NºAsuntos!G9)*11)/factor_trimestre," - ")</f>
        <v>10.383861368807981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4.9847792998477927E-2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75</v>
      </c>
      <c r="G10" s="228">
        <f>IF(ISNUMBER(Datos!I10),Datos!I10," - ")</f>
        <v>75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82</v>
      </c>
      <c r="Z10" s="622">
        <f>IF(ISNUMBER(Datos!Q10),Datos!Q10," - ")</f>
        <v>13</v>
      </c>
      <c r="AA10" s="335">
        <f>IF(ISNUMBER(Datos!L10),Datos!L10,"-")</f>
        <v>116</v>
      </c>
      <c r="AB10" s="337"/>
      <c r="AC10" s="337"/>
      <c r="AD10" s="487"/>
      <c r="AE10" s="487">
        <f>IF(ISNUMBER(Datos!R10),Datos!R10," - ")</f>
        <v>54</v>
      </c>
      <c r="AF10" s="232" t="str">
        <f>IF(ISNUMBER(Datos!BV10),Datos!BV10," - ")</f>
        <v xml:space="preserve"> - </v>
      </c>
      <c r="AG10" s="228" t="str">
        <f>IF(ISNUMBER(Datos!DV10),Datos!DV10," - ")</f>
        <v xml:space="preserve"> - </v>
      </c>
      <c r="AH10" s="301"/>
      <c r="AI10" s="230"/>
      <c r="AJ10" s="228">
        <f>IF(ISNUMBER(Datos!M10),Datos!M10," - ")</f>
        <v>35</v>
      </c>
      <c r="AK10" s="232">
        <f>IF(ISNUMBER(Datos!N10),Datos!N10," - ")</f>
        <v>35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15.560975609756097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246</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105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84</v>
      </c>
      <c r="AA11" s="335" t="str">
        <f>IF(ISNUMBER(IF(J_V="SI",Datos!L11,Datos!L11+Datos!AB11)-IF(Monitorios="SI",Datos!CD11,0)),
                          IF(J_V="SI",Datos!L11,Datos!L11+Datos!AB11)-IF(Monitorios="SI",Datos!CD11,0),
                          " - ")</f>
        <v xml:space="preserve"> - </v>
      </c>
      <c r="AB11" s="337"/>
      <c r="AC11" s="337"/>
      <c r="AD11" s="487"/>
      <c r="AE11" s="487">
        <f>IF(ISNUMBER(Datos!R11),Datos!R11," - ")</f>
        <v>438</v>
      </c>
      <c r="AF11" s="232" t="str">
        <f>IF(ISNUMBER(Datos!BV11),Datos!BV11," - ")</f>
        <v xml:space="preserve"> - </v>
      </c>
      <c r="AG11" s="228" t="str">
        <f>IF(ISNUMBER(Datos!DV11),Datos!DV11," - ")</f>
        <v xml:space="preserve"> - </v>
      </c>
      <c r="AH11" s="301"/>
      <c r="AI11" s="230"/>
      <c r="AJ11" s="228">
        <f>IF(ISNUMBER(Datos!M11),Datos!M11," - ")</f>
        <v>323</v>
      </c>
      <c r="AK11" s="232">
        <f>IF(ISNUMBER(Datos!N11),Datos!N11," - ")</f>
        <v>1475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6.0378346915017467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5.0359712230215826E-2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75</v>
      </c>
      <c r="G13" s="901">
        <f>SUBTOTAL(9,G8:G12)</f>
        <v>75</v>
      </c>
      <c r="H13" s="911"/>
      <c r="I13" s="901">
        <f t="shared" ref="I13:N13" si="0">SUBTOTAL(9,I8:I12)</f>
        <v>0</v>
      </c>
      <c r="J13" s="870">
        <f t="shared" si="0"/>
        <v>0</v>
      </c>
      <c r="K13" s="911">
        <f t="shared" si="0"/>
        <v>0</v>
      </c>
      <c r="L13" s="911">
        <f t="shared" si="0"/>
        <v>0</v>
      </c>
      <c r="M13" s="911">
        <f t="shared" si="0"/>
        <v>0</v>
      </c>
      <c r="N13" s="911">
        <f t="shared" si="0"/>
        <v>1502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82</v>
      </c>
      <c r="Z13" s="910">
        <f t="shared" si="2"/>
        <v>1213</v>
      </c>
      <c r="AA13" s="903">
        <f t="shared" si="2"/>
        <v>116</v>
      </c>
      <c r="AB13" s="903">
        <f t="shared" si="2"/>
        <v>0</v>
      </c>
      <c r="AC13" s="903">
        <f t="shared" si="2"/>
        <v>0</v>
      </c>
      <c r="AD13" s="903">
        <f t="shared" si="2"/>
        <v>0</v>
      </c>
      <c r="AE13" s="903">
        <f t="shared" si="2"/>
        <v>6010</v>
      </c>
      <c r="AF13" s="911">
        <f t="shared" si="2"/>
        <v>0</v>
      </c>
      <c r="AG13" s="911">
        <f t="shared" si="2"/>
        <v>0</v>
      </c>
      <c r="AH13" s="911">
        <f t="shared" si="2"/>
        <v>0</v>
      </c>
      <c r="AI13" s="911">
        <f t="shared" si="2"/>
        <v>0</v>
      </c>
      <c r="AJ13" s="911">
        <f t="shared" si="2"/>
        <v>1885</v>
      </c>
      <c r="AK13" s="911">
        <f t="shared" si="2"/>
        <v>3644</v>
      </c>
      <c r="AL13" s="911">
        <f t="shared" si="2"/>
        <v>0</v>
      </c>
      <c r="AM13" s="911">
        <f t="shared" si="2"/>
        <v>0</v>
      </c>
      <c r="AN13" s="911">
        <f t="shared" si="2"/>
        <v>0</v>
      </c>
      <c r="AO13" s="907">
        <f>IF(ISNUMBER(((NºAsuntos!I13/NºAsuntos!G13)*11)/factor_trimestre),((NºAsuntos!I13/NºAsuntos!G13)*11)/factor_trimestre," - ")</f>
        <v>9.4465592972181547</v>
      </c>
      <c r="AP13" s="913" t="str">
        <f>IF(ISNUMBER(Datos!CI13/Datos!CJ13),Datos!CI13/Datos!CJ13," - ")</f>
        <v xml:space="preserve"> - </v>
      </c>
      <c r="AQ13" s="931">
        <f t="shared" ref="AQ13:AV13" si="3">SUBTOTAL(9,AQ9:AQ12)</f>
        <v>0</v>
      </c>
      <c r="AR13" s="931">
        <f t="shared" si="3"/>
        <v>0.22520750522869373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396</v>
      </c>
      <c r="C15" s="163" t="str">
        <f>Datos!A15</f>
        <v xml:space="preserve">Jdos. Instrucción                               </v>
      </c>
      <c r="D15" s="505"/>
      <c r="E15" s="1171">
        <f>IF(ISNUMBER(Datos!AQ15),Datos!AQ15," - ")</f>
        <v>3</v>
      </c>
      <c r="F15" s="336">
        <f>IF(ISNUMBER(AA15+Y15-Datos!J15-K15),AA15+Y15-Datos!J15-K15," - ")</f>
        <v>2044</v>
      </c>
      <c r="G15" s="228">
        <f>IF(ISNUMBER(IF(D_I="SI",Datos!I15,Datos!I15+Datos!AC15)),IF(D_I="SI",Datos!I15,Datos!I15+Datos!AC15)," - ")</f>
        <v>2032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260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7099</v>
      </c>
      <c r="Z15" s="622">
        <f>IF(ISNUMBER(Datos!Q15),Datos!Q15," - ")</f>
        <v>169</v>
      </c>
      <c r="AA15" s="335">
        <f>IF(ISNUMBER(IF(D_I="SI",Datos!L15,Datos!L15+Datos!AF15)),IF(D_I="SI",Datos!L15,Datos!L15+Datos!AF15)," - ")</f>
        <v>2418</v>
      </c>
      <c r="AB15" s="337"/>
      <c r="AC15" s="337"/>
      <c r="AD15" s="487"/>
      <c r="AE15" s="487">
        <f>IF(ISNUMBER(Datos!R15),Datos!R15," - ")</f>
        <v>285</v>
      </c>
      <c r="AF15" s="232" t="str">
        <f>IF(ISNUMBER(Datos!BV15),Datos!BV15," - ")</f>
        <v xml:space="preserve"> - </v>
      </c>
      <c r="AG15" s="228"/>
      <c r="AH15" s="301"/>
      <c r="AI15" s="230"/>
      <c r="AJ15" s="228">
        <f>IF(ISNUMBER(Datos!M15),Datos!M15," - ")</f>
        <v>803</v>
      </c>
      <c r="AK15" s="232">
        <f>IF(ISNUMBER(Datos!N15),Datos!N15," - ")</f>
        <v>3957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3.7467248908296944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189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554</v>
      </c>
      <c r="Z17" s="622">
        <f>IF(ISNUMBER(Datos!Q17),Datos!Q17," - ")</f>
        <v>17</v>
      </c>
      <c r="AA17" s="335">
        <f>IF(ISNUMBER(Datos!L17),Datos!L17,"-")</f>
        <v>213</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76</v>
      </c>
      <c r="AK17" s="232">
        <f>IF(ISNUMBER(Datos!N17),Datos!N17," - ")</f>
        <v>179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4.2292418772563183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2044</v>
      </c>
      <c r="G18" s="901">
        <f>SUBTOTAL(9,G15:G17)</f>
        <v>2221</v>
      </c>
      <c r="H18" s="935">
        <f>SUBTOTAL(9,H15:H17)</f>
        <v>0</v>
      </c>
      <c r="I18" s="914">
        <f>SUBTOTAL(9,I15:I17)</f>
        <v>0</v>
      </c>
      <c r="J18" s="870">
        <f>SUBTOTAL(9,J14:J17)</f>
        <v>0</v>
      </c>
      <c r="K18" s="935">
        <f t="shared" ref="K18:S18" si="4">SUBTOTAL(9,K15:K17)</f>
        <v>0</v>
      </c>
      <c r="L18" s="935">
        <f t="shared" si="4"/>
        <v>0</v>
      </c>
      <c r="M18" s="935">
        <f t="shared" si="4"/>
        <v>0</v>
      </c>
      <c r="N18" s="935">
        <f t="shared" si="4"/>
        <v>273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7653</v>
      </c>
      <c r="Z18" s="935">
        <f t="shared" si="5"/>
        <v>186</v>
      </c>
      <c r="AA18" s="935">
        <f t="shared" si="5"/>
        <v>2631</v>
      </c>
      <c r="AB18" s="935">
        <f t="shared" si="5"/>
        <v>0</v>
      </c>
      <c r="AC18" s="935">
        <f t="shared" si="5"/>
        <v>0</v>
      </c>
      <c r="AD18" s="935">
        <f t="shared" si="5"/>
        <v>0</v>
      </c>
      <c r="AE18" s="935">
        <f t="shared" si="5"/>
        <v>291</v>
      </c>
      <c r="AF18" s="935">
        <f t="shared" si="5"/>
        <v>0</v>
      </c>
      <c r="AG18" s="935">
        <f t="shared" si="5"/>
        <v>0</v>
      </c>
      <c r="AH18" s="935">
        <f t="shared" si="5"/>
        <v>0</v>
      </c>
      <c r="AI18" s="935">
        <f t="shared" si="5"/>
        <v>0</v>
      </c>
      <c r="AJ18" s="935">
        <f t="shared" si="5"/>
        <v>879</v>
      </c>
      <c r="AK18" s="935">
        <f t="shared" si="5"/>
        <v>4136</v>
      </c>
      <c r="AL18" s="935">
        <f t="shared" si="5"/>
        <v>0</v>
      </c>
      <c r="AM18" s="935">
        <f t="shared" si="5"/>
        <v>0</v>
      </c>
      <c r="AN18" s="935">
        <f t="shared" si="5"/>
        <v>0</v>
      </c>
      <c r="AO18" s="937">
        <f>IF(ISNUMBER(((NºAsuntos!I18/NºAsuntos!G18)*11)/factor_trimestre),((NºAsuntos!I18/NºAsuntos!G18)*11)/factor_trimestre," - ")</f>
        <v>3.7816542532340258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9</v>
      </c>
      <c r="F19" s="823">
        <f t="shared" si="7"/>
        <v>2119</v>
      </c>
      <c r="G19" s="823">
        <f t="shared" si="7"/>
        <v>2296</v>
      </c>
      <c r="H19" s="824">
        <f t="shared" si="7"/>
        <v>0</v>
      </c>
      <c r="I19" s="823">
        <f t="shared" si="7"/>
        <v>0</v>
      </c>
      <c r="J19" s="825">
        <f t="shared" si="7"/>
        <v>0</v>
      </c>
      <c r="K19" s="823">
        <f t="shared" si="7"/>
        <v>0</v>
      </c>
      <c r="L19" s="826">
        <f t="shared" si="7"/>
        <v>0</v>
      </c>
      <c r="M19" s="823">
        <f t="shared" si="7"/>
        <v>0</v>
      </c>
      <c r="N19" s="824">
        <f t="shared" si="7"/>
        <v>1775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7735</v>
      </c>
      <c r="Z19" s="830">
        <f t="shared" si="8"/>
        <v>1399</v>
      </c>
      <c r="AA19" s="831">
        <f t="shared" si="8"/>
        <v>2747</v>
      </c>
      <c r="AB19" s="831">
        <f t="shared" si="8"/>
        <v>0</v>
      </c>
      <c r="AC19" s="831">
        <f t="shared" si="8"/>
        <v>0</v>
      </c>
      <c r="AD19" s="832">
        <f t="shared" si="8"/>
        <v>0</v>
      </c>
      <c r="AE19" s="832">
        <f t="shared" si="8"/>
        <v>6301</v>
      </c>
      <c r="AF19" s="833">
        <f t="shared" si="8"/>
        <v>0</v>
      </c>
      <c r="AG19" s="834">
        <f t="shared" si="8"/>
        <v>0</v>
      </c>
      <c r="AH19" s="835">
        <f t="shared" si="8"/>
        <v>0</v>
      </c>
      <c r="AI19" s="833">
        <f t="shared" si="8"/>
        <v>0</v>
      </c>
      <c r="AJ19" s="823">
        <f t="shared" si="8"/>
        <v>2764</v>
      </c>
      <c r="AK19" s="823">
        <f t="shared" si="8"/>
        <v>7780</v>
      </c>
      <c r="AL19" s="823">
        <f t="shared" si="8"/>
        <v>0</v>
      </c>
      <c r="AM19" s="836">
        <f t="shared" si="8"/>
        <v>0</v>
      </c>
      <c r="AN19" s="826">
        <f>IF(ISNUMBER(Datos!K19/Datos!J19),Datos!K19/Datos!J19," - ")</f>
        <v>0.86882105783489871</v>
      </c>
      <c r="AO19" s="826">
        <f>IF(ISNUMBER(FIND("06",Criterios!A8,1)),(IF(ISNUMBER(((Datos!R19/Datos!Q19)*11)/factor_trimestre),((Datos!R19/Datos!Q19)*11)/factor_trimestre," - ")),(IF(ISNUMBER(((Datos!L19/Datos!K19)*11)/factor_trimestre),((Datos!L19/Datos!K19)*11)/factor_trimestre," - ")))</f>
        <v>6.8631676267690773</v>
      </c>
      <c r="AP19" s="837" t="str">
        <f>IF(ISNUMBER(Datos!CI19/Datos!CJ19),Datos!CI19/Datos!CJ19," - ")</f>
        <v xml:space="preserve"> - </v>
      </c>
      <c r="AQ19" s="837">
        <f>IF(OR(ISNUMBER(FIND("01",Criterios!A8,1)),ISNUMBER(FIND("02",Criterios!A8,1)),ISNUMBER(FIND("03",Criterios!A8,1)),ISNUMBER(FIND("04",Criterios!A8,1))),(J19-Y19+K19)/(F19-K19),(I19-Y19+K19)/(F19-K19))</f>
        <v>-3.6503067484662575</v>
      </c>
      <c r="AR19" s="837">
        <f>IF(ISNUMBER((Datos!P19-Datos!Q19+O19)/(Datos!R19-Datos!P19+Datos!Q19-O19)),(Datos!P19-Datos!Q19+O19)/(Datos!R19-Datos!P19+Datos!Q19-O19)," - ")</f>
        <v>6.3459915611814341E-2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918.4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1136.802680034373</v>
      </c>
      <c r="G21" s="555">
        <f>IF(ISNUMBER(STDEV(G8:G18)),STDEV(G8:G18),"-")</f>
        <v>1105.841670403137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712.76380245859707</v>
      </c>
      <c r="AK21" s="255"/>
      <c r="AL21" s="255">
        <f>IF(ISNUMBER(STDEV(AL8:AL18)),STDEV(AL8:AL18),"-")</f>
        <v>0</v>
      </c>
      <c r="AM21" s="257">
        <f>IF(ISNUMBER(STDEV(AM8:AM18)),STDEV(AM8:AM18),"-")</f>
        <v>0</v>
      </c>
      <c r="AN21" s="542">
        <f>IF(ISNUMBER(STDEV(AN8:AN18)),STDEV(AN8:AN18),"-")</f>
        <v>0</v>
      </c>
      <c r="AO21" s="543">
        <f>IF(ISNUMBER(STDEV(AO8:AO18)),STDEV(AO8:AO18),"-")</f>
        <v>4.430324243291671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8FAwc70opLEvELSQvyuioF5SvBSlk4gzfo+JCj+tTJ6lN+yvFthOFJ5hTLmxp05Y+979k8/Vrs27VCgLIDv6Q==" saltValue="5SXO4pycq1EJMFZgoD5B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KHXdE06d8MBLuJ5E8207u/BUQg9PPRZELbtE3sgYdjB/nH3SFsnpfcDHVxp3HPI3f7T+VyQ+G2BZPBAlDZ0/w==" saltValue="6OpLatqbG3gc417LI/l9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nfzwmJ3pIarGoxbEH8clRD+DOs4uYmDjQpeKjiFk/cx7tZfak9IkdfkwzfT2f2k9RxVUdlTtuJg7Qk3fmwA==" saltValue="0o1rtbXSXLJJ3UFb32i7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SANTIAGO DE COMPOSTELA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0.25089844269932116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0.17741199022183443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1waZg9oafM6DuGMExc2eX4tt47Zafkx/zvEiA1InB5SwJAUo4PykfIQPJdB3mJxTgQpEitQQVCzVpFHg0tqtwg==" saltValue="cMVsQRb4TRH57QIwF0lH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SpHG1s3s8A+qtAEzAklGp5AtBpTeqX3Ve21pMTMg/ft82luPYM381gFO6nb6iU1Pfoc1mLQ+oRiQhrPaoCVVw==" saltValue="9965bgZnbFti8Y/NltOV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SANTIAGO DE COMPOSTELA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3884</v>
      </c>
      <c r="D9" s="407">
        <f>IF(ISNUMBER(C9/Datos!BH9),C9/Datos!BH9," - ")</f>
        <v>776.8</v>
      </c>
      <c r="E9" s="406">
        <f>IF(ISNUMBER(IF(J_V="SI",Datos!J9,Datos!J9+Datos!Z9)),IF(J_V="SI",Datos!J9,Datos!J9+Datos!Z9)," - ")</f>
        <v>7308</v>
      </c>
      <c r="F9" s="407">
        <f>IF(ISNUMBER(E9/B9),E9/B9," - ")</f>
        <v>1461.6</v>
      </c>
      <c r="G9" s="406">
        <f>IF(ISNUMBER(IF(J_V="SI",Datos!K9,Datos!K9+Datos!AA9)),IF(J_V="SI",Datos!K9,Datos!K9+Datos!AA9)," - ")</f>
        <v>5713</v>
      </c>
      <c r="H9" s="407">
        <f>IF(ISNUMBER(G9/B9),G9/B9," - ")</f>
        <v>1142.5999999999999</v>
      </c>
      <c r="I9" s="406">
        <f>IF(ISNUMBER(IF(J_V="SI",Datos!L9,Datos!L9+Datos!AB9)),IF(J_V="SI",Datos!L9,Datos!L9+Datos!AB9)," - ")</f>
        <v>5393</v>
      </c>
      <c r="J9" s="407">
        <f>IF(ISNUMBER(I9/B9),I9/B9," - ")</f>
        <v>1078.5999999999999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75</v>
      </c>
      <c r="D10" s="407">
        <f>IF(ISNUMBER(C10/Datos!BH10),C10/Datos!BH10," - ")</f>
        <v>75</v>
      </c>
      <c r="E10" s="406">
        <f>IF(ISNUMBER(Datos!J10),Datos!J10," - ")</f>
        <v>123</v>
      </c>
      <c r="F10" s="407">
        <f>IF(ISNUMBER(E10/B10),E10/B10," - ")</f>
        <v>123</v>
      </c>
      <c r="G10" s="406">
        <f>IF(ISNUMBER(Datos!K10),Datos!K10," - ")</f>
        <v>82</v>
      </c>
      <c r="H10" s="407">
        <f>IF(ISNUMBER(G10/B10),G10/B10," - ")</f>
        <v>82</v>
      </c>
      <c r="I10" s="406">
        <f>IF(ISNUMBER(Datos!L10),Datos!L10," - ")</f>
        <v>116</v>
      </c>
      <c r="J10" s="407">
        <f>IF(ISNUMBER(I10/B10),I10/B10," - ")</f>
        <v>116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807</v>
      </c>
      <c r="D11" s="407">
        <f>IF(ISNUMBER(C11/Datos!BH11),C11/Datos!BH11," - ")</f>
        <v>807</v>
      </c>
      <c r="E11" s="406">
        <f>IF(ISNUMBER(IF(J_V="SI",Datos!J11,Datos!J11+Datos!Z11)),IF(J_V="SI",Datos!J11,Datos!J11+Datos!Z11)," - ")</f>
        <v>1854</v>
      </c>
      <c r="F11" s="407">
        <f>IF(ISNUMBER(E11/B11),E11/B11," - ")</f>
        <v>1854</v>
      </c>
      <c r="G11" s="406">
        <f>IF(ISNUMBER(IF(J_V="SI",Datos!K11,Datos!K11+Datos!AA11)),IF(J_V="SI",Datos!K11,Datos!K11+Datos!AA11)," - ")</f>
        <v>1718</v>
      </c>
      <c r="H11" s="407">
        <f>IF(ISNUMBER(G11/B11),G11/B11," - ")</f>
        <v>1718</v>
      </c>
      <c r="I11" s="406">
        <f>IF(ISNUMBER(IF(J_V="SI",Datos!L11,Datos!L11+Datos!AB11)),IF(J_V="SI",Datos!L11,Datos!L11+Datos!AB11)," - ")</f>
        <v>943</v>
      </c>
      <c r="J11" s="407">
        <f>IF(ISNUMBER(I11/B11),I11/B11," - ")</f>
        <v>943</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4766</v>
      </c>
      <c r="D13" s="853" t="str">
        <f>IF(ISNUMBER(C13/Datos!BI13),C13/Datos!BI13," - ")</f>
        <v xml:space="preserve"> - </v>
      </c>
      <c r="E13" s="852">
        <f>SUBTOTAL(9,E8:E12)</f>
        <v>9285</v>
      </c>
      <c r="F13" s="853">
        <f>IF(ISNUMBER(E13/B13),E13/B13," - ")</f>
        <v>1547.5</v>
      </c>
      <c r="G13" s="852">
        <f>SUBTOTAL(9,G8:G12)</f>
        <v>7513</v>
      </c>
      <c r="H13" s="853">
        <f>IF(ISNUMBER(G13/B13),G13/B13," - ")</f>
        <v>1252.1666666666667</v>
      </c>
      <c r="I13" s="852">
        <f>SUBTOTAL(9,I8:I12)</f>
        <v>6452</v>
      </c>
      <c r="J13" s="853">
        <f>IF(ISNUMBER(I13/B13),I13/B13," - ")</f>
        <v>1075.3333333333333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2032</v>
      </c>
      <c r="D15" s="407">
        <f>IF(ISNUMBER(C15/Datos!BH15),C15/Datos!BH15," - ")</f>
        <v>677.33333333333337</v>
      </c>
      <c r="E15" s="406">
        <f>IF(ISNUMBER(IF(D_I="SI",Datos!J15,Datos!J15+Datos!AD15)),IF(D_I="SI",Datos!J15,Datos!J15+Datos!AD15)," - ")</f>
        <v>7473</v>
      </c>
      <c r="F15" s="407">
        <f>IF(ISNUMBER(E15/B15),E15/B15," - ")</f>
        <v>2491</v>
      </c>
      <c r="G15" s="406">
        <f>IF(ISNUMBER(IF(D_I="SI",Datos!K15,Datos!K15+Datos!AE15)),IF(D_I="SI",Datos!K15,Datos!K15+Datos!AE15)," - ")</f>
        <v>7099</v>
      </c>
      <c r="H15" s="407">
        <f>IF(ISNUMBER(G15/B15),G15/B15," - ")</f>
        <v>2366.3333333333335</v>
      </c>
      <c r="I15" s="406">
        <f>IF(ISNUMBER(IF(D_I="SI",Datos!L15,Datos!L15+Datos!AF15)),IF(D_I="SI",Datos!L15,Datos!L15+Datos!AF15)," - ")</f>
        <v>2418</v>
      </c>
      <c r="J15" s="407">
        <f>IF(ISNUMBER(I15/B15),I15/B15," - ")</f>
        <v>806</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189</v>
      </c>
      <c r="D17" s="407">
        <f>IF(ISNUMBER(C17/Datos!BH17),C17/Datos!BH17," - ")</f>
        <v>189</v>
      </c>
      <c r="E17" s="406">
        <f>IF(ISNUMBER(IF(D_I="SI",Datos!J17,Datos!J17+Datos!AD17)),IF(D_I="SI",Datos!J17,Datos!J17+Datos!AD17)," - ")</f>
        <v>577</v>
      </c>
      <c r="F17" s="407">
        <f>IF(ISNUMBER(E17/B17),E17/B17," - ")</f>
        <v>577</v>
      </c>
      <c r="G17" s="406">
        <f>IF(ISNUMBER(IF(D_I="SI",Datos!K17,Datos!K17+Datos!AE17)),IF(D_I="SI",Datos!K17,Datos!K17+Datos!AE17)," - ")</f>
        <v>554</v>
      </c>
      <c r="H17" s="407">
        <f>IF(ISNUMBER(G17/B17),G17/B17," - ")</f>
        <v>554</v>
      </c>
      <c r="I17" s="406">
        <f>IF(ISNUMBER(IF(D_I="SI",Datos!L17,Datos!L17+Datos!AF17)),IF(D_I="SI",Datos!L17,Datos!L17+Datos!AF17)," - ")</f>
        <v>213</v>
      </c>
      <c r="J17" s="407">
        <f>IF(ISNUMBER(I17/B17),I17/B17," - ")</f>
        <v>213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2221</v>
      </c>
      <c r="D18" s="853" t="str">
        <f>IF(ISNUMBER(C18/Datos!BI18),C18/Datos!BI18," - ")</f>
        <v xml:space="preserve"> - </v>
      </c>
      <c r="E18" s="852">
        <f>SUBTOTAL(9,E14:E17)</f>
        <v>8050</v>
      </c>
      <c r="F18" s="853">
        <f>IF(ISNUMBER(E18/B18),E18/B18," - ")</f>
        <v>2683.3333333333335</v>
      </c>
      <c r="G18" s="852">
        <f>SUBTOTAL(9,G14:G17)</f>
        <v>7653</v>
      </c>
      <c r="H18" s="853">
        <f>IF(ISNUMBER(G18/B18),G18/B18," - ")</f>
        <v>2551</v>
      </c>
      <c r="I18" s="852">
        <f>SUBTOTAL(9,I14:I17)</f>
        <v>2631</v>
      </c>
      <c r="J18" s="853">
        <f>IF(ISNUMBER(I18/B18),I18/B18," - ")</f>
        <v>877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6987</v>
      </c>
      <c r="D19" s="798" t="str">
        <f>IF(ISNUMBER(C19/Datos!BI19),C19/Datos!BI19," - ")</f>
        <v xml:space="preserve"> - </v>
      </c>
      <c r="E19" s="797">
        <f>SUBTOTAL(9,E9:E18)</f>
        <v>17335</v>
      </c>
      <c r="F19" s="798">
        <f>IF(ISNUMBER(E19/B19),E19/B19," - ")</f>
        <v>1926.1111111111111</v>
      </c>
      <c r="G19" s="797">
        <f>SUBTOTAL(9,G9:G18)</f>
        <v>15166</v>
      </c>
      <c r="H19" s="798">
        <f>IF(ISNUMBER(G19/B19),G19/B19," - ")</f>
        <v>1685.1111111111111</v>
      </c>
      <c r="I19" s="797">
        <f>SUBTOTAL(9,I9:I18)</f>
        <v>9083</v>
      </c>
      <c r="J19" s="798">
        <f>IF(ISNUMBER(I19/B19),I19/B19," - ")</f>
        <v>1009.2222222222222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eDxk58eK8xmYyU0ruqw9sJ1CcXi+SvbyZY0dh3dzQXvnTEw875najVJfKqRIP8uiN7hi31E0gbWJGw0cLUyaw==" saltValue="/P8VbZtRrR9NUb98/QL/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SANTIAGO DE COMPOSTELA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75</v>
      </c>
      <c r="G10" s="687">
        <f>IF(ISNUMBER(Datos!I10),Datos!I10," - ")</f>
        <v>75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82</v>
      </c>
      <c r="AC10" s="686" t="str">
        <f>IF(ISNUMBER(IF(D_I="SI",DatosP!K17,DatosP!K17+DatosP!AE17)),IF(D_I="SI",DatosP!K17,DatosP!K17+DatosP!AE17)," - ")</f>
        <v xml:space="preserve"> - </v>
      </c>
      <c r="AD10" s="688"/>
      <c r="AE10" s="688"/>
      <c r="AF10" s="691">
        <f>IF(ISNUMBER(Datos!L10),Datos!L10,"-")</f>
        <v>116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35</v>
      </c>
      <c r="AM10" s="693">
        <f>IF(ISNUMBER(Datos!N10+DatosP!N17),Datos!N10+DatosP!N17," - ")</f>
        <v>35</v>
      </c>
      <c r="AN10" s="693">
        <f>IF(ISNUMBER(Datos!BW10+DatosP!BW17),Datos!BW10+DatosP!BW17," - ")</f>
        <v>0</v>
      </c>
      <c r="AO10" s="694">
        <f>IF(ISNUMBER(Datos!BX10+DatosP!BX17),Datos!BX10+DatosP!BX17," - ")</f>
        <v>0</v>
      </c>
      <c r="AP10" s="696">
        <f>IF(ISNUMBER(((Datos!L10/Datos!K10)*11)/factor_trimestre),((Datos!L10/Datos!K10)*11)/factor_trimestre," - ")</f>
        <v>15.560975609756097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246</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75</v>
      </c>
      <c r="G13" s="941">
        <f t="shared" si="0"/>
        <v>75</v>
      </c>
      <c r="H13" s="941">
        <f t="shared" si="0"/>
        <v>0</v>
      </c>
      <c r="I13" s="943">
        <f t="shared" si="0"/>
        <v>0</v>
      </c>
      <c r="J13" s="942">
        <f t="shared" si="0"/>
        <v>0</v>
      </c>
      <c r="K13" s="942">
        <f t="shared" si="0"/>
        <v>0</v>
      </c>
      <c r="L13" s="944">
        <f t="shared" si="0"/>
        <v>0</v>
      </c>
      <c r="M13" s="944">
        <f t="shared" si="0"/>
        <v>0</v>
      </c>
      <c r="N13" s="942">
        <f t="shared" si="0"/>
        <v>19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82</v>
      </c>
      <c r="AC13" s="942">
        <f t="shared" si="1"/>
        <v>0</v>
      </c>
      <c r="AD13" s="942">
        <f t="shared" si="1"/>
        <v>0</v>
      </c>
      <c r="AE13" s="942">
        <f t="shared" si="1"/>
        <v>0</v>
      </c>
      <c r="AF13" s="942">
        <f t="shared" si="1"/>
        <v>116</v>
      </c>
      <c r="AG13" s="942">
        <f t="shared" si="1"/>
        <v>0</v>
      </c>
      <c r="AH13" s="942">
        <f t="shared" si="1"/>
        <v>0</v>
      </c>
      <c r="AI13" s="942">
        <f t="shared" si="1"/>
        <v>0</v>
      </c>
      <c r="AJ13" s="942">
        <f t="shared" si="1"/>
        <v>0</v>
      </c>
      <c r="AK13" s="942">
        <f t="shared" si="1"/>
        <v>0</v>
      </c>
      <c r="AL13" s="942">
        <f t="shared" si="1"/>
        <v>35</v>
      </c>
      <c r="AM13" s="942">
        <f t="shared" si="1"/>
        <v>35</v>
      </c>
      <c r="AN13" s="942">
        <f t="shared" si="1"/>
        <v>0</v>
      </c>
      <c r="AO13" s="942">
        <f t="shared" si="1"/>
        <v>0</v>
      </c>
      <c r="AP13" s="947">
        <f>IF(ISNUMBER(((Datos!L13/Datos!K13)*11)/factor_trimestre),((Datos!L13/Datos!K13)*11)/factor_trimestre," - ")</f>
        <v>10.54338327091136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-1.0933333333333333</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3.7816542532340258</v>
      </c>
      <c r="AQ18" s="947">
        <f>IF(ISNUMBER(((Datos!M18/Datos!L18)*11)/factor_trimestre),((Datos!M18/Datos!L18)*11)/factor_trimestre," - ")</f>
        <v>3.6750285062713797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0.4264705882352941</v>
      </c>
      <c r="AW18" s="949">
        <f>IF(ISNUMBER((Datos!Q18-Datos!R18)/(Datos!S18-Datos!Q18+Datos!R18)),(Datos!Q18-Datos!R18)/(Datos!S18-Datos!Q18+Datos!R18)," - ")</f>
        <v>-5.1144666341938629E-2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75</v>
      </c>
      <c r="G19" s="954">
        <f t="shared" si="4"/>
        <v>75</v>
      </c>
      <c r="H19" s="954">
        <f t="shared" si="4"/>
        <v>0</v>
      </c>
      <c r="I19" s="955">
        <f t="shared" si="4"/>
        <v>0</v>
      </c>
      <c r="J19" s="956">
        <f t="shared" si="4"/>
        <v>0</v>
      </c>
      <c r="K19" s="956">
        <f t="shared" si="4"/>
        <v>0</v>
      </c>
      <c r="L19" s="956">
        <f t="shared" si="4"/>
        <v>0</v>
      </c>
      <c r="M19" s="956">
        <f t="shared" si="4"/>
        <v>0</v>
      </c>
      <c r="N19" s="955">
        <f t="shared" si="4"/>
        <v>19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82</v>
      </c>
      <c r="AC19" s="960">
        <f t="shared" si="5"/>
        <v>0</v>
      </c>
      <c r="AD19" s="960">
        <f t="shared" si="5"/>
        <v>0</v>
      </c>
      <c r="AE19" s="960">
        <f t="shared" si="5"/>
        <v>0</v>
      </c>
      <c r="AF19" s="961">
        <f t="shared" si="5"/>
        <v>116</v>
      </c>
      <c r="AG19" s="961">
        <f t="shared" si="5"/>
        <v>0</v>
      </c>
      <c r="AH19" s="961">
        <f t="shared" si="5"/>
        <v>0</v>
      </c>
      <c r="AI19" s="961">
        <f t="shared" si="5"/>
        <v>0</v>
      </c>
      <c r="AJ19" s="962">
        <f t="shared" si="5"/>
        <v>0</v>
      </c>
      <c r="AK19" s="962">
        <f t="shared" si="5"/>
        <v>0</v>
      </c>
      <c r="AL19" s="954">
        <f t="shared" si="5"/>
        <v>35</v>
      </c>
      <c r="AM19" s="954">
        <f t="shared" si="5"/>
        <v>35</v>
      </c>
      <c r="AN19" s="954">
        <f t="shared" si="5"/>
        <v>0</v>
      </c>
      <c r="AO19" s="954">
        <f t="shared" si="5"/>
        <v>0</v>
      </c>
      <c r="AP19" s="954">
        <f>IF(ISNUMBER(((Datos!L19/Datos!K19)*11)/factor_trimestre),((Datos!L19/Datos!K19)*11)/factor_trimestre," - ")</f>
        <v>6.8631676267690773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-1.0933333333333333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6.3459915611814341E-2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2.7568097504180442</v>
      </c>
      <c r="F21" s="739">
        <f>IF(ISNUMBER(STDEV(F8:F18)),STDEV(F8:F18),"-")</f>
        <v>43.301270189221931</v>
      </c>
      <c r="G21" s="740">
        <f>IF(ISNUMBER(STDEV(G8:G18)),STDEV(G8:G18),"-")</f>
        <v>43.301270189221931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47.342722073549311</v>
      </c>
      <c r="AC21" s="741">
        <f>IF(ISNUMBER(STDEV(AC8:AC18)),STDEV(AC8:AC18),"-")</f>
        <v>0</v>
      </c>
      <c r="AD21" s="744"/>
      <c r="AE21" s="744"/>
      <c r="AF21" s="744"/>
      <c r="AG21" s="744"/>
      <c r="AH21" s="744"/>
      <c r="AI21" s="744"/>
      <c r="AJ21" s="745">
        <f>IF(ISNUMBER(STDEV(AJ8:AJ18)),STDEV(AJ8:AJ18),"-")</f>
        <v>0</v>
      </c>
      <c r="AK21" s="747"/>
      <c r="AL21" s="739">
        <f>IF(ISNUMBER(STDEV(AL8:AL18)),STDEV(AL8:AL18),"-")</f>
        <v>20.207259421636902</v>
      </c>
      <c r="AM21" s="739"/>
      <c r="AN21" s="739">
        <f>IF(ISNUMBER(STDEV(AN8:AN18)),STDEV(AN8:AN18),"-")</f>
        <v>0</v>
      </c>
      <c r="AO21" s="745">
        <f>IF(ISNUMBER(STDEV(AO8:AO18)),STDEV(AO8:AO18),"-")</f>
        <v>0</v>
      </c>
      <c r="AP21" s="782">
        <f>IF(ISNUMBER(STDEV(AP8:AP18)),STDEV(AP8:AP18),"-")</f>
        <v>5.9111423572711397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BenyVN/fxlca2VFZxGYIncYW5Gu1/oN0FxhXMOja7xADg4/NV4d2oRcDizBanLi+INj7+RfEPTqe8XAwV/6Cw==" saltValue="GvzQVk7axNlK/hT/u2CG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SANTIAGO DE COMPOSTELA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eiquwcczFBOLjcHoFTpznswvKaMKTkvQwPqvmFjDOjLdcZmDPn/Z6qHV4bZ0OaaneIOWm+xUd01AFd7xVOkDw==" saltValue="GefmVxSBYwH7MdSXrPGm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SANTIAGO DE COMPOSTELA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1527</v>
      </c>
      <c r="E9" s="407">
        <f t="shared" ref="E9:E13" si="0">IF(ISNUMBER(D9/B9),D9/B9," - ")</f>
        <v>305.39999999999998</v>
      </c>
      <c r="F9" s="406">
        <f>IF(ISNUMBER(Datos!N9),Datos!N9," - ")</f>
        <v>2134</v>
      </c>
      <c r="G9" s="407">
        <f t="shared" ref="G9:G13" si="1">IF(ISNUMBER(F9/B9),F9/B9," - ")</f>
        <v>426.8</v>
      </c>
      <c r="H9" s="406">
        <f>IF(ISNUMBER(Datos!O9),Datos!O9," - ")</f>
        <v>2474</v>
      </c>
      <c r="I9" s="407">
        <f>IF(ISNUMBER(H9/B9),H9/B9," - ")</f>
        <v>494.8</v>
      </c>
    </row>
    <row r="10" spans="1:9">
      <c r="A10" s="405" t="str">
        <f>Datos!A10</f>
        <v>Jdos. Violencia contra la mujer</v>
      </c>
      <c r="B10" s="430">
        <f>Datos!AO10</f>
        <v>1</v>
      </c>
      <c r="C10" s="413">
        <f>Datos!AQ10</f>
        <v>0</v>
      </c>
      <c r="D10" s="406">
        <f>IF(ISNUMBER(Datos!M10),Datos!M10," - ")</f>
        <v>35</v>
      </c>
      <c r="E10" s="407">
        <f>IF(ISNUMBER(D10/B10),D10/B10," - ")</f>
        <v>35</v>
      </c>
      <c r="F10" s="406">
        <f>IF(ISNUMBER(Datos!N10),Datos!N10," - ")</f>
        <v>35</v>
      </c>
      <c r="G10" s="407">
        <f>IF(ISNUMBER(F10/B10),F10/B10," - ")</f>
        <v>35</v>
      </c>
      <c r="H10" s="406">
        <f>IF(ISNUMBER(Datos!O10),Datos!O10," - ")</f>
        <v>15</v>
      </c>
      <c r="I10" s="407">
        <f t="shared" ref="I10:I12" si="2">IF(ISNUMBER(H10/B10),H10/B10," - ")</f>
        <v>15</v>
      </c>
    </row>
    <row r="11" spans="1:9">
      <c r="A11" s="405" t="str">
        <f>Datos!A11</f>
        <v xml:space="preserve">Jdos. Familia                                   </v>
      </c>
      <c r="B11" s="430">
        <f>Datos!AO11</f>
        <v>1</v>
      </c>
      <c r="C11" s="413">
        <f>Datos!AQ11</f>
        <v>1</v>
      </c>
      <c r="D11" s="406">
        <f>IF(ISNUMBER(Datos!M11),Datos!M11," - ")</f>
        <v>323</v>
      </c>
      <c r="E11" s="407">
        <f t="shared" si="0"/>
        <v>323</v>
      </c>
      <c r="F11" s="406">
        <f>IF(ISNUMBER(Datos!N11),Datos!N11," - ")</f>
        <v>1475</v>
      </c>
      <c r="G11" s="407">
        <f t="shared" si="1"/>
        <v>1475</v>
      </c>
      <c r="H11" s="406">
        <f>IF(ISNUMBER(Datos!O11),Datos!O11," - ")</f>
        <v>303</v>
      </c>
      <c r="I11" s="407">
        <f t="shared" si="2"/>
        <v>303</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6</v>
      </c>
      <c r="D13" s="852">
        <f>SUBTOTAL(9,D9:D12)</f>
        <v>1885</v>
      </c>
      <c r="E13" s="853">
        <f t="shared" si="0"/>
        <v>269.28571428571428</v>
      </c>
      <c r="F13" s="852">
        <f>SUBTOTAL(9,F9:F12)</f>
        <v>3644</v>
      </c>
      <c r="G13" s="853">
        <f t="shared" si="1"/>
        <v>520.57142857142856</v>
      </c>
      <c r="H13" s="852">
        <f>SUBTOTAL(9,H9:H12)</f>
        <v>2792</v>
      </c>
      <c r="I13" s="853">
        <f>IF(ISNUMBER(H13/B13),H13/B13," - ")</f>
        <v>398.85714285714283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803</v>
      </c>
      <c r="E15" s="407">
        <f t="shared" ref="E15:E18" si="3">IF(ISNUMBER(D15/B15),D15/B15," - ")</f>
        <v>267.66666666666669</v>
      </c>
      <c r="F15" s="406">
        <f>IF(ISNUMBER(Datos!N15),Datos!N15," - ")</f>
        <v>3957</v>
      </c>
      <c r="G15" s="407">
        <f t="shared" ref="G15:G18" si="4">IF(ISNUMBER(F15/B15),F15/B15," - ")</f>
        <v>1319</v>
      </c>
      <c r="H15" s="406">
        <f>IF(ISNUMBER(Datos!O15),Datos!O15," - ")</f>
        <v>98</v>
      </c>
      <c r="I15" s="407">
        <f t="shared" ref="I15:I17" si="5">IF(ISNUMBER(H15/B15),H15/B15," - ")</f>
        <v>32.666666666666664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76</v>
      </c>
      <c r="E17" s="407">
        <f>IF(ISNUMBER(D17/B17),D17/B17," - ")</f>
        <v>76</v>
      </c>
      <c r="F17" s="406">
        <f>IF(ISNUMBER(Datos!N17),Datos!N17," - ")</f>
        <v>179</v>
      </c>
      <c r="G17" s="407">
        <f>IF(ISNUMBER(F17/B17),F17/B17," - ")</f>
        <v>179</v>
      </c>
      <c r="H17" s="406">
        <f>IF(ISNUMBER(Datos!O17),Datos!O17," - ")</f>
        <v>14</v>
      </c>
      <c r="I17" s="407">
        <f t="shared" si="5"/>
        <v>14</v>
      </c>
    </row>
    <row r="18" spans="1:9" ht="14.25" thickTop="1" thickBot="1">
      <c r="A18" s="851" t="str">
        <f>Datos!A18</f>
        <v>TOTAL</v>
      </c>
      <c r="B18" s="852">
        <f>Datos!AO18</f>
        <v>4</v>
      </c>
      <c r="C18" s="854">
        <f>Datos!AR18</f>
        <v>3</v>
      </c>
      <c r="D18" s="852">
        <f>SUBTOTAL(9,D15:D17)</f>
        <v>879</v>
      </c>
      <c r="E18" s="853">
        <f t="shared" si="3"/>
        <v>219.75</v>
      </c>
      <c r="F18" s="852">
        <f>SUBTOTAL(9,F15:F17)</f>
        <v>4136</v>
      </c>
      <c r="G18" s="853">
        <f t="shared" si="4"/>
        <v>1034</v>
      </c>
      <c r="H18" s="852">
        <f>SUBTOTAL(9,H15:H17)</f>
        <v>112</v>
      </c>
      <c r="I18" s="853">
        <f>IF(ISNUMBER(H18/B18),H18/B18," - ")</f>
        <v>28</v>
      </c>
    </row>
    <row r="19" spans="1:9" ht="14.25" thickTop="1" thickBot="1">
      <c r="A19" s="796" t="str">
        <f>Datos!A19</f>
        <v>TOTAL JURISDICCIONES</v>
      </c>
      <c r="B19" s="797">
        <f>Datos!AP19</f>
        <v>9</v>
      </c>
      <c r="C19" s="797">
        <f>Datos!AR19</f>
        <v>9</v>
      </c>
      <c r="D19" s="797">
        <f>SUBTOTAL(9,D8:D18)</f>
        <v>2764</v>
      </c>
      <c r="E19" s="798">
        <f>IF(ISNUMBER(D19/B19),D19/B19," - ")</f>
        <v>307.11111111111109</v>
      </c>
      <c r="F19" s="797">
        <f>SUBTOTAL(9,F8:F18)</f>
        <v>7780</v>
      </c>
      <c r="G19" s="798">
        <f>IF(ISNUMBER(F19/B19),F19/B19," - ")</f>
        <v>864.44444444444446</v>
      </c>
      <c r="H19" s="797">
        <f>SUBTOTAL(9,H8:H18)</f>
        <v>2904</v>
      </c>
      <c r="I19" s="798">
        <f>IF(ISNUMBER(H19/B19),H19/B19," - ")</f>
        <v>322.66666666666669</v>
      </c>
    </row>
    <row r="22" spans="1:9">
      <c r="A22" s="394" t="str">
        <f>Criterios!A4</f>
        <v>Fecha Informe: 03 may. 2024</v>
      </c>
    </row>
    <row r="27" spans="1:9">
      <c r="A27" s="417"/>
    </row>
  </sheetData>
  <sheetProtection algorithmName="SHA-512" hashValue="XwqnvQx5Z3Nv6zoqF2r3JFC90wtK3LvkJTte5J428OmDKfLeUeONSgoenktkabqgOQ3y22wxM/ITHVcEfXpIKA==" saltValue="mCGkHLxhOnf27p20qpXe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SANTIAGO DE COMPOSTELA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1378</v>
      </c>
      <c r="C9" s="437">
        <f>IF(ISNUMBER(Datos!Q9),Datos!Q9," - ")</f>
        <v>1116</v>
      </c>
      <c r="D9" s="411">
        <f>IF(ISNUMBER(Datos!R9),Datos!R9," - ")</f>
        <v>5518</v>
      </c>
    </row>
    <row r="10" spans="1:4">
      <c r="A10" s="405" t="str">
        <f>Datos!A10</f>
        <v>Jdos. Violencia contra la mujer</v>
      </c>
      <c r="B10" s="436">
        <f>IF(ISNUMBER(Datos!P10),Datos!P10," - ")</f>
        <v>19</v>
      </c>
      <c r="C10" s="437">
        <f>IF(ISNUMBER(Datos!Q10),Datos!Q10," - ")</f>
        <v>13</v>
      </c>
      <c r="D10" s="411">
        <f>IF(ISNUMBER(Datos!R10),Datos!R10," - ")</f>
        <v>54</v>
      </c>
    </row>
    <row r="11" spans="1:4">
      <c r="A11" s="405" t="str">
        <f>Datos!A11</f>
        <v xml:space="preserve">Jdos. Familia                                   </v>
      </c>
      <c r="B11" s="436">
        <f>IF(ISNUMBER(Datos!P11),Datos!P11," - ")</f>
        <v>105</v>
      </c>
      <c r="C11" s="437">
        <f>IF(ISNUMBER(Datos!Q11),Datos!Q11," - ")</f>
        <v>84</v>
      </c>
      <c r="D11" s="411">
        <f>IF(ISNUMBER(Datos!R11),Datos!R11," - ")</f>
        <v>438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1502</v>
      </c>
      <c r="C13" s="856">
        <f>SUBTOTAL(9,C9:C12)</f>
        <v>1213</v>
      </c>
      <c r="D13" s="854">
        <f>SUBTOTAL(9,D9:D12)</f>
        <v>6010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260</v>
      </c>
      <c r="C15" s="437">
        <f>IF(ISNUMBER(Datos!Q15),Datos!Q15," - ")</f>
        <v>169</v>
      </c>
      <c r="D15" s="411">
        <f>IF(ISNUMBER(Datos!R15),Datos!R15," - ")</f>
        <v>285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13</v>
      </c>
      <c r="C17" s="437">
        <f>IF(ISNUMBER(Datos!Q17),Datos!Q17," - ")</f>
        <v>17</v>
      </c>
      <c r="D17" s="411">
        <f>IF(ISNUMBER(Datos!R17),Datos!R17," - ")</f>
        <v>6</v>
      </c>
    </row>
    <row r="18" spans="1:4" ht="14.25" thickTop="1" thickBot="1">
      <c r="A18" s="851" t="str">
        <f>Datos!A18</f>
        <v>TOTAL</v>
      </c>
      <c r="B18" s="852">
        <f>SUBTOTAL(9,B15:B17)</f>
        <v>273</v>
      </c>
      <c r="C18" s="856">
        <f>SUBTOTAL(9,C15:C17)</f>
        <v>186</v>
      </c>
      <c r="D18" s="854">
        <f>SUBTOTAL(9,D15:D17)</f>
        <v>291</v>
      </c>
    </row>
    <row r="19" spans="1:4" ht="16.5" customHeight="1" thickTop="1" thickBot="1">
      <c r="A19" s="796" t="str">
        <f>Datos!A19</f>
        <v>TOTAL JURISDICCIONES</v>
      </c>
      <c r="B19" s="801">
        <f>SUBTOTAL(9,B8:B18)</f>
        <v>1775</v>
      </c>
      <c r="C19" s="802">
        <f>SUBTOTAL(9,C8:C18)</f>
        <v>1399</v>
      </c>
      <c r="D19" s="803">
        <f>SUBTOTAL(9,D8:D18)</f>
        <v>6301</v>
      </c>
    </row>
    <row r="20" spans="1:4" ht="7.5" customHeight="1"/>
    <row r="21" spans="1:4" ht="6" customHeight="1"/>
    <row r="22" spans="1:4">
      <c r="A22" s="394" t="str">
        <f>Criterios!A4</f>
        <v>Fecha Informe: 03 may. 2024</v>
      </c>
    </row>
    <row r="27" spans="1:4">
      <c r="A27" s="417"/>
    </row>
  </sheetData>
  <sheetProtection algorithmName="SHA-512" hashValue="9QmN6woNEqPW1AGoKxGmg1FuB9yqEn8XOOJb29j9JnC6wsYU/zM8eQpFHefU9/C8kxAPtCFifhKtjd6HuI+Vsg==" saltValue="y56ItbpC9aOGVBcpg7Pn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SANTIAGO DE COMPOSTELA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0.32243786176370448</v>
      </c>
      <c r="C9" s="459">
        <f>IF(ISNUMBER(
   IF(J_V="SI",(Datos!J9-Datos!T9)/Datos!T9,(Datos!J9+Datos!Z9-(Datos!T9+Datos!AH9))/(Datos!T9+Datos!AH9))
     ),IF(J_V="SI",(Datos!J9-Datos!T9)/Datos!T9,(Datos!J9+Datos!Z9-(Datos!T9+Datos!AH9))/(Datos!T9+Datos!AH9))," - ")</f>
        <v>0.16722568279827504</v>
      </c>
      <c r="D9" s="459">
        <f>IF(ISNUMBER(
   IF(J_V="SI",(Datos!K9-Datos!U9)/Datos!U9,(Datos!K9+Datos!AA9-(Datos!U9+Datos!AI9))/(Datos!U9+Datos!AI9))
     ),IF(J_V="SI",(Datos!K9-Datos!U9)/Datos!U9,(Datos!K9+Datos!AA9-(Datos!U9+Datos!AI9))/(Datos!U9+Datos!AI9))," - ")</f>
        <v>7.5894538606403009E-2</v>
      </c>
      <c r="E9" s="459">
        <f>IF(ISNUMBER(
   IF(J_V="SI",(Datos!L9-Datos!V9)/Datos!V9,(Datos!L9+Datos!AB9-(Datos!V9+Datos!AJ9))/(Datos!V9+Datos!AJ9))
     ),IF(J_V="SI",(Datos!L9-Datos!V9)/Datos!V9,(Datos!L9+Datos!AB9-(Datos!V9+Datos!AJ9))/(Datos!V9+Datos!AJ9))," - ")</f>
        <v>0.38851699279093715</v>
      </c>
      <c r="F9" s="459">
        <f>IF(ISNUMBER((Datos!M9-Datos!W9)/Datos!W9),(Datos!M9-Datos!W9)/Datos!W9," - ")</f>
        <v>0.12527634487840825</v>
      </c>
      <c r="G9" s="460">
        <f>IF(ISNUMBER((Datos!N9-Datos!X9)/Datos!X9),(Datos!N9-Datos!X9)/Datos!X9," - ")</f>
        <v>0.1326963906581741</v>
      </c>
      <c r="H9" s="458">
        <f>IF(ISNUMBER(((NºAsuntos!G9/NºAsuntos!E9)-Datos!BD9)/Datos!BD9),((NºAsuntos!G9/NºAsuntos!E9)-Datos!BD9)/Datos!BD9," - ")</f>
        <v>-7.8246345619226929E-2</v>
      </c>
      <c r="I9" s="459">
        <f>IF(ISNUMBER(((NºAsuntos!I9/NºAsuntos!G9)-Datos!BE9)/Datos!BE9),((NºAsuntos!I9/NºAsuntos!G9)-Datos!BE9)/Datos!BE9," - ")</f>
        <v>0.29056979375457309</v>
      </c>
      <c r="J9" s="464">
        <f>IF(ISNUMBER((('Resol  Asuntos'!D9/NºAsuntos!G9)-Datos!BF9)/Datos!BF9),(('Resol  Asuntos'!D9/NºAsuntos!G9)-Datos!BF9)/Datos!BF9," - ")</f>
        <v>-0.24666449632696011</v>
      </c>
      <c r="K9" s="465">
        <f>IF(ISNUMBER((((NºAsuntos!C9+NºAsuntos!E9)/NºAsuntos!G9)-Datos!BG9)/Datos!BG9),(((NºAsuntos!C9+NºAsuntos!E9)/NºAsuntos!G9)-Datos!BG9)/Datos!BG9," - ")</f>
        <v>0.13095309458326751</v>
      </c>
    </row>
    <row r="10" spans="1:11">
      <c r="A10" s="405" t="str">
        <f>Datos!A10</f>
        <v>Jdos. Violencia contra la mujer</v>
      </c>
      <c r="B10" s="458">
        <f>IF(ISNUMBER((Datos!I10-Datos!S10)/Datos!S10),(Datos!I10-Datos!S10)/Datos!S10," - ")</f>
        <v>0.2711864406779661</v>
      </c>
      <c r="C10" s="459">
        <f>IF(ISNUMBER((Datos!J10-Datos!T10)/Datos!T10),(Datos!J10-Datos!T10)/Datos!T10," - ")</f>
        <v>6.0344827586206899E-2</v>
      </c>
      <c r="D10" s="459">
        <f>IF(ISNUMBER((Datos!K10-Datos!U10)/Datos!U10),(Datos!K10-Datos!U10)/Datos!U10," - ")</f>
        <v>-7.8651685393258425E-2</v>
      </c>
      <c r="E10" s="459">
        <f>IF(ISNUMBER((Datos!L10-Datos!V10)/Datos!V10),(Datos!L10-Datos!V10)/Datos!V10," - ")</f>
        <v>0.54666666666666663</v>
      </c>
      <c r="F10" s="459">
        <f>IF(ISNUMBER((Datos!M10-Datos!W10)/Datos!W10),(Datos!M10-Datos!W10)/Datos!W10," - ")</f>
        <v>-0.125</v>
      </c>
      <c r="G10" s="460">
        <f>IF(ISNUMBER((Datos!N10-Datos!X10)/Datos!X10),(Datos!N10-Datos!X10)/Datos!X10," - ")</f>
        <v>-0.18604651162790697</v>
      </c>
      <c r="H10" s="458">
        <f>IF(ISNUMBER(((NºAsuntos!G10/NºAsuntos!E10)-Datos!BD10)/Datos!BD10),((NºAsuntos!G10/NºAsuntos!E10)-Datos!BD10)/Datos!BD10," - ")</f>
        <v>-0.13108614232209748</v>
      </c>
      <c r="I10" s="459">
        <f>IF(ISNUMBER(((NºAsuntos!I10/NºAsuntos!G10)-Datos!BE10)/Datos!BE10),((NºAsuntos!I10/NºAsuntos!G10)-Datos!BE10)/Datos!BE10," - ")</f>
        <v>0.67869918699186993</v>
      </c>
      <c r="J10" s="464">
        <f>IF(ISNUMBER((('Resol  Asuntos'!D10/NºAsuntos!G10)-Datos!BF10)/Datos!BF10),(('Resol  Asuntos'!D10/NºAsuntos!G10)-Datos!BF10)/Datos!BF10," - ")</f>
        <v>-5.0304878048780484E-2</v>
      </c>
      <c r="K10" s="465">
        <f>IF(ISNUMBER((((NºAsuntos!C10+NºAsuntos!E10)/NºAsuntos!G10)-Datos!BG10)/Datos!BG10),(((NºAsuntos!C10+NºAsuntos!E10)/NºAsuntos!G10)-Datos!BG10)/Datos!BG10," - ")</f>
        <v>0.22801393728222999</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0.64358452138492872</v>
      </c>
      <c r="C11" s="459">
        <f>IF(ISNUMBER(
   IF(J_V="SI",(Datos!J11-Datos!T11)/Datos!T11,(Datos!J11+Datos!Z11-(Datos!T11+Datos!AH11))/(Datos!T11+Datos!AH11))
     ),IF(J_V="SI",(Datos!J11-Datos!T11)/Datos!T11,(Datos!J11+Datos!Z11-(Datos!T11+Datos!AH11))/(Datos!T11+Datos!AH11))," - ")</f>
        <v>-0.21540414727041896</v>
      </c>
      <c r="D11" s="459">
        <f>IF(ISNUMBER(
   IF(J_V="SI",(Datos!K11-Datos!U11)/Datos!U11,(Datos!K11+Datos!AA11-(Datos!U11+Datos!AI11))/(Datos!U11+Datos!AI11))
     ),IF(J_V="SI",(Datos!K11-Datos!U11)/Datos!U11,(Datos!K11+Datos!AA11-(Datos!U11+Datos!AI11))/(Datos!U11+Datos!AI11))," - ")</f>
        <v>-0.14908370480435859</v>
      </c>
      <c r="E11" s="459">
        <f>IF(ISNUMBER(
   IF(J_V="SI",(Datos!L11-Datos!V11)/Datos!V11,(Datos!L11+Datos!AB11-(Datos!V11+Datos!AJ11))/(Datos!V11+Datos!AJ11))
     ),IF(J_V="SI",(Datos!L11-Datos!V11)/Datos!V11,(Datos!L11+Datos!AB11-(Datos!V11+Datos!AJ11))/(Datos!V11+Datos!AJ11))," - ")</f>
        <v>0.16852540272614622</v>
      </c>
      <c r="F11" s="459">
        <f>IF(ISNUMBER((Datos!M11-Datos!W11)/Datos!W11),(Datos!M11-Datos!W11)/Datos!W11," - ")</f>
        <v>-7.183908045977011E-2</v>
      </c>
      <c r="G11" s="460">
        <f>IF(ISNUMBER((Datos!N11-Datos!X11)/Datos!X11),(Datos!N11-Datos!X11)/Datos!X11," - ")</f>
        <v>2.7158774373259052E-2</v>
      </c>
      <c r="H11" s="458">
        <f>IF(ISNUMBER(((NºAsuntos!G11/NºAsuntos!E11)-Datos!BD11)/Datos!BD11),((NºAsuntos!G11/NºAsuntos!E11)-Datos!BD11)/Datos!BD11," - ")</f>
        <v>8.4528158331877351E-2</v>
      </c>
      <c r="I11" s="459">
        <f>IF(ISNUMBER(((NºAsuntos!I11/NºAsuntos!G11)-Datos!BE11)/Datos!BE11),((NºAsuntos!I11/NºAsuntos!G11)-Datos!BE11)/Datos!BE11," - ")</f>
        <v>0.37325540634696702</v>
      </c>
      <c r="J11" s="464">
        <f>IF(ISNUMBER((('Resol  Asuntos'!D11/NºAsuntos!G11)-Datos!BF11)/Datos!BF11),(('Resol  Asuntos'!D11/NºAsuntos!G11)-Datos!BF11)/Datos!BF11," - ")</f>
        <v>-0.73566100051559602</v>
      </c>
      <c r="K11" s="465">
        <f>IF(ISNUMBER((((NºAsuntos!C11+NºAsuntos!E11)/NºAsuntos!G11)-Datos!BG11)/Datos!BG11),(((NºAsuntos!C11+NºAsuntos!E11)/NºAsuntos!G11)-Datos!BG11)/Datos!BG11," - ")</f>
        <v>9.5731293946041351E-2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0.36679093776885574</v>
      </c>
      <c r="C13" s="858">
        <f>IF(ISNUMBER(
   IF(J_V="SI",(Datos!J13-Datos!T13)/Datos!T13,(Datos!J13+Datos!Z13-(Datos!T13+Datos!AH13))/(Datos!T13+Datos!AH13))
     ),IF(J_V="SI",(Datos!J13-Datos!T13)/Datos!T13,(Datos!J13+Datos!Z13-(Datos!T13+Datos!AH13))/(Datos!T13+Datos!AH13))," - ")</f>
        <v>6.2356979405034325E-2</v>
      </c>
      <c r="D13" s="858">
        <f>IF(ISNUMBER(
   IF(J_V="SI",(Datos!K13-Datos!U13)/Datos!U13,(Datos!K13+Datos!AA13-(Datos!U13+Datos!AI13))/(Datos!U13+Datos!AI13))
     ),IF(J_V="SI",(Datos!K13-Datos!U13)/Datos!U13,(Datos!K13+Datos!AA13-(Datos!U13+Datos!AI13))/(Datos!U13+Datos!AI13))," - ")</f>
        <v>1.2806686438393097E-2</v>
      </c>
      <c r="E13" s="858">
        <f>IF(ISNUMBER(
   IF(J_V="SI",(Datos!L13-Datos!V13)/Datos!V13,(Datos!L13+Datos!AB13-(Datos!V13+Datos!AJ13))/(Datos!V13+Datos!AJ13))
     ),IF(J_V="SI",(Datos!L13-Datos!V13)/Datos!V13,(Datos!L13+Datos!AB13-(Datos!V13+Datos!AJ13))/(Datos!V13+Datos!AJ13))," - ")</f>
        <v>0.35375577003776754</v>
      </c>
      <c r="F13" s="859">
        <f>IF(ISNUMBER((Datos!M13-Datos!W13)/Datos!W13),(Datos!M13-Datos!W13)/Datos!W13," - ")</f>
        <v>8.0229226361031525E-2</v>
      </c>
      <c r="G13" s="860">
        <f>IF(ISNUMBER((Datos!N13-Datos!X13)/Datos!X13),(Datos!N13-Datos!X13)/Datos!X13," - ")</f>
        <v>8.355634849836456E-2</v>
      </c>
      <c r="H13" s="860">
        <f>IF(ISNUMBER(((NºAsuntos!G13/NºAsuntos!E13)-Datos!BD13)/Datos!BD13),((NºAsuntos!G13/NºAsuntos!E13)-Datos!BD13)/Datos!BD13," - ")</f>
        <v>-4.6641848199078587E-2</v>
      </c>
      <c r="I13" s="860">
        <f>IF(ISNUMBER(((NºAsuntos!I13/NºAsuntos!G13)-Datos!BE13)/Datos!BE13),((NºAsuntos!I13/NºAsuntos!G13)-Datos!BE13)/Datos!BE13," - ")</f>
        <v>0.33663786798085443</v>
      </c>
      <c r="J13" s="860">
        <f>IF(ISNUMBER((('Resol  Asuntos'!D13/NºAsuntos!G13)-Datos!BF13)/Datos!BF13),(('Resol  Asuntos'!D13/NºAsuntos!G13)-Datos!BF13)/Datos!BF13," - ")</f>
        <v>-0.44608195001679629</v>
      </c>
      <c r="K13" s="860">
        <f>IF(ISNUMBER((((NºAsuntos!C13+NºAsuntos!E13)/NºAsuntos!G13)-Datos!BG13)/Datos!BG13),(((NºAsuntos!C13+NºAsuntos!E13)/NºAsuntos!G13)-Datos!BG13)/Datos!BG13," - ")</f>
        <v>0.13464698048368512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0.11832691249312052</v>
      </c>
      <c r="C15" s="459">
        <f>IF(ISNUMBER(
   IF(D_I="SI",(Datos!J15-Datos!T15)/Datos!T15,(Datos!J15+Datos!AD15-(Datos!T15+Datos!AL15))/(Datos!T15+Datos!AL15))
     ),IF(D_I="SI",(Datos!J15-Datos!T15)/Datos!T15,(Datos!J15+Datos!AD15-(Datos!T15+Datos!AL15))/(Datos!T15+Datos!AL15))," - ")</f>
        <v>-8.0966286169365537E-3</v>
      </c>
      <c r="D15" s="459">
        <f>IF(ISNUMBER(
   IF(D_I="SI",(Datos!K15-Datos!U15)/Datos!U15,(Datos!K15+Datos!AE15-(Datos!U15+Datos!AM15))/(Datos!U15+Datos!AM15))
     ),IF(D_I="SI",(Datos!K15-Datos!U15)/Datos!U15,(Datos!K15+Datos!AE15-(Datos!U15+Datos!AM15))/(Datos!U15+Datos!AM15))," - ")</f>
        <v>-4.9060835435940564E-3</v>
      </c>
      <c r="E15" s="459">
        <f>IF(ISNUMBER(
   IF(D_I="SI",(Datos!L15-Datos!V15)/Datos!V15,(Datos!L15+Datos!AF15-(Datos!V15+Datos!AN15))/(Datos!V15+Datos!AN15))
     ),IF(D_I="SI",(Datos!L15-Datos!V15)/Datos!V15,(Datos!L15+Datos!AF15-(Datos!V15+Datos!AN15))/(Datos!V15+Datos!AN15))," - ")</f>
        <v>0.18996062992125984</v>
      </c>
      <c r="F15" s="459">
        <f>IF(ISNUMBER((Datos!M15-Datos!W15)/Datos!W15),(Datos!M15-Datos!W15)/Datos!W15," - ")</f>
        <v>-1.1083743842364532E-2</v>
      </c>
      <c r="G15" s="460">
        <f>IF(ISNUMBER((Datos!N15-Datos!X15)/Datos!X15),(Datos!N15-Datos!X15)/Datos!X15," - ")</f>
        <v>-4.8798076923076923E-2</v>
      </c>
      <c r="H15" s="458">
        <f>IF(ISNUMBER(((NºAsuntos!G15/NºAsuntos!E15)-Datos!BD15)/Datos!BD15),((NºAsuntos!G15/NºAsuntos!E15)-Datos!BD15)/Datos!BD15," - ")</f>
        <v>3.2165885966227619E-3</v>
      </c>
      <c r="I15" s="459">
        <f>IF(ISNUMBER(((NºAsuntos!I15/NºAsuntos!G15)-Datos!BE15)/Datos!BE15),((NºAsuntos!I15/NºAsuntos!G15)-Datos!BE15)/Datos!BE15," - ")</f>
        <v>0.19582745934050816</v>
      </c>
      <c r="J15" s="464">
        <f>IF(ISNUMBER((('Resol  Asuntos'!D15/NºAsuntos!G15)-Datos!BF15)/Datos!BF15),(('Resol  Asuntos'!D15/NºAsuntos!G15)-Datos!BF15)/Datos!BF15," - ")</f>
        <v>-6.2081178435594237E-3</v>
      </c>
      <c r="K15" s="465">
        <f>IF(ISNUMBER((((NºAsuntos!C15+NºAsuntos!E15)/NºAsuntos!G15)-Datos!BG15)/Datos!BG15),(((NºAsuntos!C15+NºAsuntos!E15)/NºAsuntos!G15)-Datos!BG15)/Datos!BG15," - ")</f>
        <v>2.1480294526519193E-2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0.44274809160305345</v>
      </c>
      <c r="C17" s="459">
        <f>IF(ISNUMBER(
   IF(D_I="SI",(Datos!J17-Datos!T17)/Datos!T17,(Datos!J17+Datos!AD17-(Datos!T17+Datos!AL17))/(Datos!T17+Datos!AL17))
     ),IF(D_I="SI",(Datos!J17-Datos!T17)/Datos!T17,(Datos!J17+Datos!AD17-(Datos!T17+Datos!AL17))/(Datos!T17+Datos!AL17))," - ")</f>
        <v>8.8679245283018862E-2</v>
      </c>
      <c r="D17" s="459">
        <f>IF(ISNUMBER(
   IF(D_I="SI",(Datos!K17-Datos!U17)/Datos!U17,(Datos!K17+Datos!AE17-(Datos!U17+Datos!AM17))/(Datos!U17+Datos!AM17))
     ),IF(D_I="SI",(Datos!K17-Datos!U17)/Datos!U17,(Datos!K17+Datos!AE17-(Datos!U17+Datos!AM17))/(Datos!U17+Datos!AM17))," - ")</f>
        <v>0.1329243353783231</v>
      </c>
      <c r="E17" s="459">
        <f>IF(ISNUMBER(
   IF(D_I="SI",(Datos!L17-Datos!V17)/Datos!V17,(Datos!L17+Datos!AF17-(Datos!V17+Datos!AN17))/(Datos!V17+Datos!AN17))
     ),IF(D_I="SI",(Datos!L17-Datos!V17)/Datos!V17,(Datos!L17+Datos!AF17-(Datos!V17+Datos!AN17))/(Datos!V17+Datos!AN17))," - ")</f>
        <v>0.12698412698412698</v>
      </c>
      <c r="F17" s="459">
        <f>IF(ISNUMBER((Datos!M17-Datos!W17)/Datos!W17),(Datos!M17-Datos!W17)/Datos!W17," - ")</f>
        <v>0.49019607843137253</v>
      </c>
      <c r="G17" s="460">
        <f>IF(ISNUMBER((Datos!N17-Datos!X17)/Datos!X17),(Datos!N17-Datos!X17)/Datos!X17," - ")</f>
        <v>-5.7894736842105263E-2</v>
      </c>
      <c r="H17" s="458">
        <f>IF(ISNUMBER(((NºAsuntos!G17/NºAsuntos!E17)-Datos!BD17)/Datos!BD17),((NºAsuntos!G17/NºAsuntos!E17)-Datos!BD17)/Datos!BD17," - ")</f>
        <v>4.0641070624802843E-2</v>
      </c>
      <c r="I17" s="459">
        <f>IF(ISNUMBER(((NºAsuntos!I17/NºAsuntos!G17)-Datos!BE17)/Datos!BE17),((NºAsuntos!I17/NºAsuntos!G17)-Datos!BE17)/Datos!BE17," - ")</f>
        <v>-5.2432525356712186E-3</v>
      </c>
      <c r="J17" s="464">
        <f>IF(ISNUMBER((('Resol  Asuntos'!D17/NºAsuntos!G17)-Datos!BF17)/Datos!BF17),(('Resol  Asuntos'!D17/NºAsuntos!G17)-Datos!BF17)/Datos!BF17," - ")</f>
        <v>0.31535357825440657</v>
      </c>
      <c r="K17" s="465">
        <f>IF(ISNUMBER((((NºAsuntos!C17+NºAsuntos!E17)/NºAsuntos!G17)-Datos!BG17)/Datos!BG17),(((NºAsuntos!C17+NºAsuntos!E17)/NºAsuntos!G17)-Datos!BG17)/Datos!BG17," - ")</f>
        <v>2.2884045069007188E-2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0.14014373716632444</v>
      </c>
      <c r="C18" s="858">
        <f>IF(ISNUMBER(
   IF(Criterios!B14="SI",(Datos!J18-Datos!T18)/Datos!T18,(Datos!J18+Datos!AD18-(Datos!T18+Datos!AL18))/(Datos!T18+Datos!AL18))
     ),IF(Criterios!B14="SI",(Datos!J18-Datos!T18)/Datos!T18,(Datos!J18+Datos!AD18-(Datos!T18+Datos!AL18))/(Datos!T18+Datos!AL18))," - ")</f>
        <v>-1.736111111111111E-3</v>
      </c>
      <c r="D18" s="858">
        <f>IF(ISNUMBER(
   IF(Criterios!B14="SI",(Datos!K18-Datos!U18)/Datos!U18,(Datos!K18+Datos!AE18-(Datos!U18+Datos!AM18))/(Datos!U18+Datos!AM18))
     ),IF(Criterios!B14="SI",(Datos!K18-Datos!U18)/Datos!U18,(Datos!K18+Datos!AE18-(Datos!U18+Datos!AM18))/(Datos!U18+Datos!AM18))," - ")</f>
        <v>3.9354584809130266E-3</v>
      </c>
      <c r="E18" s="858">
        <f>IF(ISNUMBER(
   IF(Criterios!B14="SI",(Datos!L18-Datos!V18)/Datos!V18,(Datos!L18+Datos!AF18-(Datos!V18+Datos!AN18))/(Datos!V18+Datos!AN18))
     ),IF(Criterios!B14="SI",(Datos!L18-Datos!V18)/Datos!V18,(Datos!L18+Datos!AF18-(Datos!V18+Datos!AN18))/(Datos!V18+Datos!AN18))," - ")</f>
        <v>0.18460153084196307</v>
      </c>
      <c r="F18" s="859">
        <f>IF(ISNUMBER((Datos!M18-Datos!W18)/Datos!W18),(Datos!M18-Datos!W18)/Datos!W18," - ")</f>
        <v>1.8539976825028968E-2</v>
      </c>
      <c r="G18" s="860">
        <f>IF(ISNUMBER((Datos!N18-Datos!X18)/Datos!X18),(Datos!N18-Datos!X18)/Datos!X18," - ")</f>
        <v>-4.9195402298850575E-2</v>
      </c>
      <c r="H18" s="860">
        <f>IF(ISNUMBER(((NºAsuntos!G18/NºAsuntos!E18)-Datos!BD18)/Datos!BD18),((NºAsuntos!G18/NºAsuntos!E18)-Datos!BD18)/Datos!BD18," - ")</f>
        <v>5.6814331913146165E-3</v>
      </c>
      <c r="I18" s="860">
        <f>IF(ISNUMBER(((NºAsuntos!I18/NºAsuntos!G18)-Datos!BE18)/Datos!BE18),((NºAsuntos!I18/NºAsuntos!G18)-Datos!BE18)/Datos!BE18," - ")</f>
        <v>0.17995785569166137</v>
      </c>
      <c r="J18" s="860">
        <f>IF(ISNUMBER((('Resol  Asuntos'!D18/NºAsuntos!G18)-Datos!BF18)/Datos!BF18),(('Resol  Asuntos'!D18/NºAsuntos!G18)-Datos!BF18)/Datos!BF18," - ")</f>
        <v>1.4547268174205636E-2</v>
      </c>
      <c r="K18" s="860">
        <f>IF(ISNUMBER((((NºAsuntos!C18+NºAsuntos!E18)/NºAsuntos!G18)-Datos!BG18)/Datos!BG18),(((NºAsuntos!C18+NºAsuntos!E18)/NºAsuntos!G18)-Datos!BG18)/Datos!BG18," - ")</f>
        <v>2.1847518767365445E-2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0.28555657773689053</v>
      </c>
      <c r="C19" s="805">
        <f>IF(ISNUMBER(
   IF(J_V="SI",(Datos!J19-Datos!T19)/Datos!T19,(Datos!J19+Datos!Z19-(Datos!T19+Datos!AH19))/(Datos!T19+Datos!AH19))
     ),IF(J_V="SI",(Datos!J19-Datos!T19)/Datos!T19,(Datos!J19+Datos!Z19-(Datos!T19+Datos!AH19))/(Datos!T19+Datos!AH19))," - ")</f>
        <v>3.1599619138300401E-2</v>
      </c>
      <c r="D19" s="805">
        <f>IF(ISNUMBER(
   IF(J_V="SI",(Datos!K19-Datos!U19)/Datos!U19,(Datos!K19+Datos!AA19-(Datos!U19+Datos!AI19))/(Datos!U19+Datos!AI19))
     ),IF(J_V="SI",(Datos!K19-Datos!U19)/Datos!U19,(Datos!K19+Datos!AA19-(Datos!U19+Datos!AI19))/(Datos!U19+Datos!AI19))," - ")</f>
        <v>8.3106176451033832E-3</v>
      </c>
      <c r="E19" s="805">
        <f>IF(ISNUMBER(
   IF(J_V="SI",(Datos!L19-Datos!V19)/Datos!V19,(Datos!L19+Datos!AB19-(Datos!V19+Datos!AJ19))/(Datos!V19+Datos!AJ19))
     ),IF(J_V="SI",(Datos!L19-Datos!V19)/Datos!V19,(Datos!L19+Datos!AB19-(Datos!V19+Datos!AJ19))/(Datos!V19+Datos!AJ19))," - ")</f>
        <v>0.29998568770573925</v>
      </c>
      <c r="F19" s="806">
        <f>IF(ISNUMBER((Datos!M19-Datos!W19)/Datos!W19),(Datos!M19-Datos!W19)/Datos!W19," - ")</f>
        <v>5.98159509202454E-2</v>
      </c>
      <c r="G19" s="807">
        <f>IF(ISNUMBER((Datos!N19-Datos!X19)/Datos!X19),(Datos!N19-Datos!X19)/Datos!X19," - ")</f>
        <v>8.6866329573447431E-3</v>
      </c>
      <c r="H19" s="808">
        <f>IF(ISNUMBER((Tasas!B19-Datos!BD19)/Datos!BD19),(Tasas!B19-Datos!BD19)/Datos!BD19," - ")</f>
        <v>-2.2575620484089006E-2</v>
      </c>
      <c r="I19" s="809">
        <f>IF(ISNUMBER((Tasas!C19-Datos!BE19)/Datos!BE19),(Tasas!C19-Datos!BE19)/Datos!BE19," - ")</f>
        <v>0.28927104897679168</v>
      </c>
      <c r="J19" s="810">
        <f>IF(ISNUMBER((Tasas!D19-Datos!BF19)/Datos!BF19),(Tasas!D19-Datos!BF19)/Datos!BF19," - ")</f>
        <v>-0.35088354751422635</v>
      </c>
      <c r="K19" s="810">
        <f>IF(ISNUMBER((Tasas!E19-Datos!BG19)/Datos!BG19),(Tasas!E19-Datos!BG19)/Datos!BG19," - ")</f>
        <v>8.4650170619270299E-2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ZYhbL/VeUihQrnv4KwkrGkJbA/0GtNvrSxRqEQJdTTjMJwDf7997ouJ8ZilwAxc4sUV9M//Ow4g7IqdcKNFcw==" saltValue="cIN7eCl+hwYtJLzGZuJ4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SANTIAGO DE COMPOSTELA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0.78174603174603174</v>
      </c>
      <c r="C9" s="446">
        <f>IF(ISNUMBER(NºAsuntos!I9/NºAsuntos!G9),NºAsuntos!I9/NºAsuntos!G9," - ")</f>
        <v>0.94398739716436197</v>
      </c>
      <c r="D9" s="447">
        <f>IF(ISNUMBER('Resol  Asuntos'!D9/NºAsuntos!G9),'Resol  Asuntos'!D9/NºAsuntos!G9," - ")</f>
        <v>0.26728513915631019</v>
      </c>
      <c r="E9" s="448">
        <f>IF(ISNUMBER((NºAsuntos!C9+NºAsuntos!E9)/NºAsuntos!G9),(NºAsuntos!C9+NºAsuntos!E9)/NºAsuntos!G9," - ")</f>
        <v>1.9590407841764397</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1.4146341463414633</v>
      </c>
      <c r="D10" s="447">
        <f>IF(ISNUMBER('Resol  Asuntos'!D10/NºAsuntos!G10),'Resol  Asuntos'!D10/NºAsuntos!G10," - ")</f>
        <v>0.42682926829268292</v>
      </c>
      <c r="E10" s="448">
        <f>IF(ISNUMBER((NºAsuntos!C10+NºAsuntos!E10)/NºAsuntos!G10),(NºAsuntos!C10+NºAsuntos!E10)/NºAsuntos!G10," - ")</f>
        <v>2.4146341463414633</v>
      </c>
      <c r="G10" s="466"/>
    </row>
    <row r="11" spans="1:7">
      <c r="A11" s="405" t="str">
        <f>Datos!A11</f>
        <v xml:space="preserve">Jdos. Familia                                   </v>
      </c>
      <c r="B11" s="445">
        <f>IF(ISNUMBER(NºAsuntos!G11/NºAsuntos!E11),NºAsuntos!G11/NºAsuntos!E11," - ")</f>
        <v>0.9266450916936354</v>
      </c>
      <c r="C11" s="446">
        <f>IF(ISNUMBER(NºAsuntos!I11/NºAsuntos!G11),NºAsuntos!I11/NºAsuntos!G11," - ")</f>
        <v>0.54889406286379516</v>
      </c>
      <c r="D11" s="447">
        <f>IF(ISNUMBER('Resol  Asuntos'!D11/NºAsuntos!G11),'Resol  Asuntos'!D11/NºAsuntos!G11," - ")</f>
        <v>0.18800931315483119</v>
      </c>
      <c r="E11" s="448">
        <f>IF(ISNUMBER((NºAsuntos!C11+NºAsuntos!E11)/NºAsuntos!G11),(NºAsuntos!C11+NºAsuntos!E11)/NºAsuntos!G11," - ")</f>
        <v>1.5488940628637951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0.80915455035002692</v>
      </c>
      <c r="C13" s="862">
        <f>IF(ISNUMBER(NºAsuntos!I13/NºAsuntos!G13),NºAsuntos!I13/NºAsuntos!G13," - ")</f>
        <v>0.85877811792892322</v>
      </c>
      <c r="D13" s="863">
        <f>IF(ISNUMBER('Resol  Asuntos'!D13/NºAsuntos!G13),'Resol  Asuntos'!D13/NºAsuntos!G13," - ")</f>
        <v>0.25089844269932116</v>
      </c>
      <c r="E13" s="864">
        <f>IF(ISNUMBER((NºAsuntos!C13+NºAsuntos!E13)/NºAsuntos!G13),(NºAsuntos!C13+NºAsuntos!E13)/NºAsuntos!G13," - ")</f>
        <v>1.8702249434313856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0.94995316472634816</v>
      </c>
      <c r="C15" s="446">
        <f>IF(ISNUMBER(NºAsuntos!I15/NºAsuntos!G15),NºAsuntos!I15/NºAsuntos!G15," - ")</f>
        <v>0.34061135371179041</v>
      </c>
      <c r="D15" s="447">
        <f>IF(ISNUMBER('Resol  Asuntos'!D15/NºAsuntos!G15),'Resol  Asuntos'!D15/NºAsuntos!G15," - ")</f>
        <v>0.11311452317227778</v>
      </c>
      <c r="E15" s="448">
        <f>IF(ISNUMBER((NºAsuntos!C15+NºAsuntos!E15)/NºAsuntos!G15),(NºAsuntos!C15+NºAsuntos!E15)/NºAsuntos!G15," - ")</f>
        <v>1.3389209747851809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0.96013864818024264</v>
      </c>
      <c r="C17" s="446">
        <f>IF(ISNUMBER(NºAsuntos!I17/NºAsuntos!G17),NºAsuntos!I17/NºAsuntos!G17," - ")</f>
        <v>0.3844765342960289</v>
      </c>
      <c r="D17" s="447">
        <f>IF(ISNUMBER('Resol  Asuntos'!D17/NºAsuntos!G17),'Resol  Asuntos'!D17/NºAsuntos!G17," - ")</f>
        <v>0.13718411552346571</v>
      </c>
      <c r="E17" s="448">
        <f>IF(ISNUMBER((NºAsuntos!C17+NºAsuntos!E17)/NºAsuntos!G17),(NºAsuntos!C17+NºAsuntos!E17)/NºAsuntos!G17," - ")</f>
        <v>1.3826714801444044</v>
      </c>
      <c r="G17" s="466"/>
    </row>
    <row r="18" spans="1:7" ht="14.25" thickTop="1" thickBot="1">
      <c r="A18" s="851" t="str">
        <f>Datos!A18</f>
        <v>TOTAL</v>
      </c>
      <c r="B18" s="861">
        <f>IF(ISNUMBER(NºAsuntos!G18/NºAsuntos!E18),NºAsuntos!G18/NºAsuntos!E18," - ")</f>
        <v>0.9506832298136646</v>
      </c>
      <c r="C18" s="862">
        <f>IF(ISNUMBER(NºAsuntos!I18/NºAsuntos!G18),NºAsuntos!I18/NºAsuntos!G18," - ")</f>
        <v>0.34378675029400235</v>
      </c>
      <c r="D18" s="865">
        <f>IF(ISNUMBER('Resol  Asuntos'!D18/NºAsuntos!G18),'Resol  Asuntos'!D18/NºAsuntos!G18," - ")</f>
        <v>0.11485691885535085</v>
      </c>
      <c r="E18" s="864">
        <f>IF(ISNUMBER((NºAsuntos!C18+NºAsuntos!E18)/NºAsuntos!G18),(NºAsuntos!C18+NºAsuntos!E18)/NºAsuntos!G18," - ")</f>
        <v>1.3420880700378937</v>
      </c>
      <c r="G18" s="466"/>
    </row>
    <row r="19" spans="1:7" ht="15.75" customHeight="1" thickTop="1" thickBot="1">
      <c r="A19" s="796" t="str">
        <f>Datos!A19</f>
        <v>TOTAL JURISDICCIONES</v>
      </c>
      <c r="B19" s="811">
        <f>IF(ISNUMBER(NºAsuntos!G19/NºAsuntos!E19),NºAsuntos!G19/NºAsuntos!E19," - ")</f>
        <v>0.87487741563311217</v>
      </c>
      <c r="C19" s="812">
        <f>IF(ISNUMBER(NºAsuntos!I19/NºAsuntos!G19),NºAsuntos!I19/NºAsuntos!G19," - ")</f>
        <v>0.59890544639324805</v>
      </c>
      <c r="D19" s="813">
        <f>IF(ISNUMBER('Resol  Asuntos'!D19/NºAsuntos!G19),'Resol  Asuntos'!D19/NºAsuntos!G19," - ")</f>
        <v>0.18224976922062508</v>
      </c>
      <c r="E19" s="814">
        <f>IF(ISNUMBER((NºAsuntos!C19+NºAsuntos!E19)/NºAsuntos!G19),(NºAsuntos!C19+NºAsuntos!E19)/NºAsuntos!G19," - ")</f>
        <v>1.6037188447843862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oBoHNObOS96n8wwpGjFPGQR3XcchrE4cGzrqUhEY3w0cPiqbKukn//aFMHiHRF250emhtqeuuqFVw1IClzwHQ==" saltValue="MqojbKF8xtPoYsmgWGYu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SANTIAGO DE COMPOSTELA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1378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1116</v>
      </c>
      <c r="Y9" s="337">
        <f>SUM(W9:X9)</f>
        <v>1116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5518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1527</v>
      </c>
      <c r="AJ9" s="232" t="str">
        <f>IF(ISNUMBER(Datos!BW9),Datos!BW9," - ")</f>
        <v xml:space="preserve"> - </v>
      </c>
      <c r="AK9" s="231" t="str">
        <f>IF(ISNUMBER(Datos!BX9),Datos!BX9," - ")</f>
        <v xml:space="preserve"> - </v>
      </c>
      <c r="AL9" s="246">
        <f>IF(ISNUMBER(NºAsuntos!G9/NºAsuntos!E9),NºAsuntos!G9/NºAsuntos!E9," - ")</f>
        <v>0.78174603174603174</v>
      </c>
      <c r="AM9" s="263">
        <f>IF(ISNUMBER(((NºAsuntos!I9/NºAsuntos!G9)*11)/factor_trimestre),((NºAsuntos!I9/NºAsuntos!G9)*11)/factor_trimestre," - ")</f>
        <v>10.383861368807981</v>
      </c>
      <c r="AN9" s="247">
        <f>IF(ISNUMBER('Resol  Asuntos'!D9/NºAsuntos!G9),'Resol  Asuntos'!D9/NºAsuntos!G9," - ")</f>
        <v>0.26728513915631019</v>
      </c>
      <c r="AO9" s="248">
        <f>IF(ISNUMBER((NºAsuntos!C9+NºAsuntos!E9)/NºAsuntos!G9),(NºAsuntos!C9+NºAsuntos!E9)/NºAsuntos!G9," - ")</f>
        <v>1.9590407841764397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75</v>
      </c>
      <c r="G10" s="336">
        <f>IF(ISNUMBER(Datos!I10),Datos!I10," - ")</f>
        <v>75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82</v>
      </c>
      <c r="X10" s="229">
        <f>IF(ISNUMBER(Datos!Q10),Datos!Q10," - ")</f>
        <v>13</v>
      </c>
      <c r="Y10" s="337">
        <f t="shared" ref="Y10:Y12" si="0">SUM(W10:X10)</f>
        <v>95</v>
      </c>
      <c r="Z10" s="338" t="str">
        <f>IF(ISNUMBER(Datos!CC10),Datos!CC10," - ")</f>
        <v xml:space="preserve"> - </v>
      </c>
      <c r="AA10" s="335">
        <f>IF(ISNUMBER(Datos!L10),Datos!L10,"-")</f>
        <v>116</v>
      </c>
      <c r="AB10" s="337">
        <f>IF(ISNUMBER(Datos!R10),Datos!R10," - ")</f>
        <v>54</v>
      </c>
      <c r="AC10" s="337">
        <f t="shared" ref="AC10:AC12" si="1">IF(ISNUMBER(AA10+AB10),AA10+AB10," - ")</f>
        <v>170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35</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15.560975609756097</v>
      </c>
      <c r="AN10" s="247">
        <f>IF(ISNUMBER('Resol  Asuntos'!D10/NºAsuntos!G10),'Resol  Asuntos'!D10/NºAsuntos!G10," - ")</f>
        <v>0.42682926829268292</v>
      </c>
      <c r="AO10" s="248">
        <f>IF(ISNUMBER((NºAsuntos!C10+NºAsuntos!E10)/NºAsuntos!G10),(NºAsuntos!C10+NºAsuntos!E10)/NºAsuntos!G10," - ")</f>
        <v>2.4146341463414633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246</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105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84</v>
      </c>
      <c r="Y11" s="337">
        <f t="shared" si="0"/>
        <v>84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438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323</v>
      </c>
      <c r="AJ11" s="234" t="str">
        <f>IF(ISNUMBER(Datos!BW11),Datos!BW11," - ")</f>
        <v xml:space="preserve"> - </v>
      </c>
      <c r="AK11" s="235" t="str">
        <f>IF(ISNUMBER(Datos!BX11),Datos!BX11," - ")</f>
        <v xml:space="preserve"> - </v>
      </c>
      <c r="AL11" s="246">
        <f>IF(ISNUMBER(NºAsuntos!G11/NºAsuntos!E11),NºAsuntos!G11/NºAsuntos!E11," - ")</f>
        <v>0.9266450916936354</v>
      </c>
      <c r="AM11" s="263">
        <f>IF(ISNUMBER(((NºAsuntos!I11/NºAsuntos!G11)*11)/factor_trimestre),((NºAsuntos!I11/NºAsuntos!G11)*11)/factor_trimestre," - ")</f>
        <v>6.0378346915017467</v>
      </c>
      <c r="AN11" s="247">
        <f>IF(ISNUMBER('Resol  Asuntos'!D11/NºAsuntos!G11),'Resol  Asuntos'!D11/NºAsuntos!G11," - ")</f>
        <v>0.18800931315483119</v>
      </c>
      <c r="AO11" s="248">
        <f>IF(ISNUMBER((NºAsuntos!C11+NºAsuntos!E11)/NºAsuntos!G11),(NºAsuntos!C11+NºAsuntos!E11)/NºAsuntos!G11," - ")</f>
        <v>1.5488940628637951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75</v>
      </c>
      <c r="G13" s="869">
        <f t="shared" si="3"/>
        <v>75</v>
      </c>
      <c r="H13" s="868">
        <f t="shared" si="3"/>
        <v>0</v>
      </c>
      <c r="I13" s="870">
        <f t="shared" si="3"/>
        <v>0</v>
      </c>
      <c r="J13" s="870">
        <f t="shared" si="3"/>
        <v>0</v>
      </c>
      <c r="K13" s="870">
        <f t="shared" si="3"/>
        <v>0</v>
      </c>
      <c r="L13" s="870">
        <f t="shared" si="3"/>
        <v>1502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82</v>
      </c>
      <c r="X13" s="870">
        <f t="shared" si="4"/>
        <v>1213</v>
      </c>
      <c r="Y13" s="871">
        <f t="shared" si="4"/>
        <v>1295</v>
      </c>
      <c r="Z13" s="871">
        <f t="shared" si="4"/>
        <v>0</v>
      </c>
      <c r="AA13" s="871">
        <f t="shared" si="4"/>
        <v>116</v>
      </c>
      <c r="AB13" s="871">
        <f t="shared" si="4"/>
        <v>6010</v>
      </c>
      <c r="AC13" s="871">
        <f t="shared" si="4"/>
        <v>170</v>
      </c>
      <c r="AD13" s="871">
        <f t="shared" si="4"/>
        <v>0</v>
      </c>
      <c r="AE13" s="875">
        <f t="shared" si="4"/>
        <v>0</v>
      </c>
      <c r="AF13" s="868">
        <f t="shared" si="4"/>
        <v>0</v>
      </c>
      <c r="AG13" s="876">
        <f t="shared" si="4"/>
        <v>0</v>
      </c>
      <c r="AH13" s="873">
        <f t="shared" si="4"/>
        <v>0</v>
      </c>
      <c r="AI13" s="868">
        <f t="shared" si="4"/>
        <v>1885</v>
      </c>
      <c r="AJ13" s="870">
        <f t="shared" si="4"/>
        <v>0</v>
      </c>
      <c r="AK13" s="873">
        <f>SUBTOTAL(9,AK9:AK12)</f>
        <v>0</v>
      </c>
      <c r="AL13" s="877">
        <f>IF(ISNUMBER(NºAsuntos!G13/NºAsuntos!E13),NºAsuntos!G13/NºAsuntos!E13," - ")</f>
        <v>0.80915455035002692</v>
      </c>
      <c r="AM13" s="877">
        <f>IF(ISNUMBER(((NºAsuntos!I13/NºAsuntos!G13)*11)/factor_trimestre),((NºAsuntos!I13/NºAsuntos!G13)*11)/factor_trimestre," - ")</f>
        <v>9.4465592972181547</v>
      </c>
      <c r="AN13" s="878">
        <f>IF(ISNUMBER('Resol  Asuntos'!D13/NºAsuntos!G13),'Resol  Asuntos'!D13/NºAsuntos!G13," - ")</f>
        <v>0.25089844269932116</v>
      </c>
      <c r="AO13" s="879">
        <f>IF(ISNUMBER((NºAsuntos!C13+NºAsuntos!E13)/NºAsuntos!G13),(NºAsuntos!C13+NºAsuntos!E13)/NºAsuntos!G13," - ")</f>
        <v>1.8702249434313856</v>
      </c>
      <c r="AP13" s="880" t="str">
        <f t="shared" si="2"/>
        <v xml:space="preserve"> - </v>
      </c>
      <c r="AQ13" s="880">
        <f>IF(ISNUMBER((H13-W13+K13)/(F13)),(H13-W13+K13)/(F13)," - ")</f>
        <v>-1.0933333333333333</v>
      </c>
      <c r="AR13" s="881">
        <f>IF(ISNUMBER((Datos!P13-Datos!Q13)/(Datos!R13-Datos!P13+Datos!Q13)),(Datos!P13-Datos!Q13)/(Datos!R13-Datos!P13+Datos!Q13)," - ")</f>
        <v>5.051564411816116E-2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396</v>
      </c>
      <c r="C15" s="163" t="str">
        <f>Datos!A15</f>
        <v xml:space="preserve">Jdos. Instrucción                               </v>
      </c>
      <c r="D15" s="163"/>
      <c r="E15" s="1028">
        <f>IF(ISNUMBER(Datos!AQ15),Datos!AQ15," - ")</f>
        <v>3</v>
      </c>
      <c r="F15" s="228">
        <f>IF(ISNUMBER(AA15+W15-Datos!J15-K15),AA15+W15-Datos!J15-K15," - ")</f>
        <v>2044</v>
      </c>
      <c r="G15" s="336">
        <f>IF(ISNUMBER(IF(D_I="SI",Datos!I15,Datos!I15+Datos!AC15)),IF(D_I="SI",Datos!I15,Datos!I15+Datos!AC15)," - ")</f>
        <v>2032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260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7099</v>
      </c>
      <c r="X15" s="229">
        <f>IF(ISNUMBER(Datos!Q15),Datos!Q15," - ")</f>
        <v>169</v>
      </c>
      <c r="Y15" s="337">
        <f>SUM(W15)</f>
        <v>7099</v>
      </c>
      <c r="Z15" s="338" t="str">
        <f>IF(ISNUMBER(Datos!CC15),Datos!CC15," - ")</f>
        <v xml:space="preserve"> - </v>
      </c>
      <c r="AA15" s="335">
        <f>IF(ISNUMBER(IF(D_I="SI",Datos!L15,Datos!L15+Datos!AF15)),IF(D_I="SI",Datos!L15,Datos!L15+Datos!AF15)," - ")</f>
        <v>2418</v>
      </c>
      <c r="AB15" s="337">
        <f>IF(ISNUMBER(Datos!R15),Datos!R15," - ")</f>
        <v>285</v>
      </c>
      <c r="AC15" s="337">
        <f t="shared" ref="AC15:AC17" si="6">IF(ISNUMBER(AA15+AB15),AA15+AB15," - ")</f>
        <v>2703</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803</v>
      </c>
      <c r="AJ15" s="234" t="str">
        <f>IF(ISNUMBER(Datos!BW15),Datos!BW15," - ")</f>
        <v xml:space="preserve"> - </v>
      </c>
      <c r="AK15" s="235" t="str">
        <f>IF(ISNUMBER(Datos!BX15),Datos!BX15," - ")</f>
        <v xml:space="preserve"> - </v>
      </c>
      <c r="AL15" s="246">
        <f>IF(ISNUMBER(NºAsuntos!G15/NºAsuntos!E15),NºAsuntos!G15/NºAsuntos!E15," - ")</f>
        <v>0.94995316472634816</v>
      </c>
      <c r="AM15" s="263">
        <f>IF(ISNUMBER(((NºAsuntos!I15/NºAsuntos!G15)*11)/factor_trimestre),((NºAsuntos!I15/NºAsuntos!G15)*11)/factor_trimestre," - ")</f>
        <v>3.7467248908296944</v>
      </c>
      <c r="AN15" s="247">
        <f>IF(ISNUMBER('Resol  Asuntos'!D15/NºAsuntos!G15),'Resol  Asuntos'!D15/NºAsuntos!G15," - ")</f>
        <v>0.11311452317227778</v>
      </c>
      <c r="AO15" s="248">
        <f>IF(ISNUMBER((NºAsuntos!C15+NºAsuntos!E15)/NºAsuntos!G15),(NºAsuntos!C15+NºAsuntos!E15)/NºAsuntos!G15," - ")</f>
        <v>1.3389209747851809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189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554</v>
      </c>
      <c r="X17" s="229">
        <f>IF(ISNUMBER(Datos!Q17),Datos!Q17," - ")</f>
        <v>17</v>
      </c>
      <c r="Y17" s="337">
        <f t="shared" si="7"/>
        <v>571</v>
      </c>
      <c r="Z17" s="338" t="str">
        <f>IF(ISNUMBER(Datos!CC17),Datos!CC17," - ")</f>
        <v xml:space="preserve"> - </v>
      </c>
      <c r="AA17" s="335">
        <f>IF(ISNUMBER(Datos!L17),Datos!L17,"-")</f>
        <v>213</v>
      </c>
      <c r="AB17" s="337">
        <f>IF(ISNUMBER(Datos!R17),Datos!R17," - ")</f>
        <v>6</v>
      </c>
      <c r="AC17" s="337">
        <f t="shared" si="6"/>
        <v>219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76</v>
      </c>
      <c r="AJ17" s="234" t="str">
        <f>IF(ISNUMBER(Datos!BW17),Datos!BW17," - ")</f>
        <v xml:space="preserve"> - </v>
      </c>
      <c r="AK17" s="235" t="str">
        <f>IF(ISNUMBER(Datos!BX17),Datos!BX17," - ")</f>
        <v xml:space="preserve"> - </v>
      </c>
      <c r="AL17" s="246">
        <f>IF(ISNUMBER(NºAsuntos!G17/NºAsuntos!E17),NºAsuntos!G17/NºAsuntos!E17," - ")</f>
        <v>0.96013864818024264</v>
      </c>
      <c r="AM17" s="263">
        <f>IF(ISNUMBER(((NºAsuntos!I17/NºAsuntos!G17)*11)/factor_trimestre),((NºAsuntos!I17/NºAsuntos!G17)*11)/factor_trimestre," - ")</f>
        <v>4.2292418772563183</v>
      </c>
      <c r="AN17" s="247">
        <f>IF(ISNUMBER('Resol  Asuntos'!D17/NºAsuntos!G17),'Resol  Asuntos'!D17/NºAsuntos!G17," - ")</f>
        <v>0.13718411552346571</v>
      </c>
      <c r="AO17" s="248">
        <f>IF(ISNUMBER((NºAsuntos!C17+NºAsuntos!E17)/NºAsuntos!G17),(NºAsuntos!C17+NºAsuntos!E17)/NºAsuntos!G17," - ")</f>
        <v>1.3826714801444044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2044</v>
      </c>
      <c r="G18" s="869">
        <f>SUBTOTAL(9,G15:G17)</f>
        <v>2221</v>
      </c>
      <c r="H18" s="868">
        <f t="shared" ref="H18:O18" si="10">SUBTOTAL(9,H14:H17)</f>
        <v>0</v>
      </c>
      <c r="I18" s="870">
        <f t="shared" si="10"/>
        <v>0</v>
      </c>
      <c r="J18" s="870">
        <f t="shared" si="10"/>
        <v>0</v>
      </c>
      <c r="K18" s="870">
        <f t="shared" si="10"/>
        <v>0</v>
      </c>
      <c r="L18" s="870">
        <f t="shared" si="10"/>
        <v>273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7653</v>
      </c>
      <c r="X18" s="870">
        <f t="shared" si="11"/>
        <v>186</v>
      </c>
      <c r="Y18" s="871">
        <f t="shared" si="11"/>
        <v>7670</v>
      </c>
      <c r="Z18" s="871">
        <f t="shared" si="11"/>
        <v>0</v>
      </c>
      <c r="AA18" s="871">
        <f t="shared" si="11"/>
        <v>2631</v>
      </c>
      <c r="AB18" s="871">
        <f t="shared" si="11"/>
        <v>291</v>
      </c>
      <c r="AC18" s="871">
        <f t="shared" si="11"/>
        <v>2922</v>
      </c>
      <c r="AD18" s="871">
        <f t="shared" si="11"/>
        <v>0</v>
      </c>
      <c r="AE18" s="875">
        <f t="shared" si="11"/>
        <v>0</v>
      </c>
      <c r="AF18" s="868">
        <f t="shared" si="11"/>
        <v>0</v>
      </c>
      <c r="AG18" s="876">
        <f t="shared" si="11"/>
        <v>0</v>
      </c>
      <c r="AH18" s="873">
        <f t="shared" si="11"/>
        <v>0</v>
      </c>
      <c r="AI18" s="868">
        <f t="shared" si="11"/>
        <v>879</v>
      </c>
      <c r="AJ18" s="870">
        <f t="shared" si="11"/>
        <v>0</v>
      </c>
      <c r="AK18" s="873">
        <f t="shared" si="11"/>
        <v>0</v>
      </c>
      <c r="AL18" s="877">
        <f>IF(ISNUMBER(NºAsuntos!G18/NºAsuntos!E18),NºAsuntos!G18/NºAsuntos!E18," - ")</f>
        <v>0.9506832298136646</v>
      </c>
      <c r="AM18" s="877">
        <f>IF(ISNUMBER(((NºAsuntos!I18/NºAsuntos!G18)*11)/factor_trimestre),((NºAsuntos!I18/NºAsuntos!G18)*11)/factor_trimestre," - ")</f>
        <v>3.7816542532340258</v>
      </c>
      <c r="AN18" s="878">
        <f>IF(ISNUMBER('Resol  Asuntos'!D18/NºAsuntos!G18),'Resol  Asuntos'!D18/NºAsuntos!G18," - ")</f>
        <v>0.11485691885535085</v>
      </c>
      <c r="AO18" s="879">
        <f>IF(ISNUMBER((NºAsuntos!C18+NºAsuntos!E18)/NºAsuntos!G18),(NºAsuntos!C18+NºAsuntos!E18)/NºAsuntos!G18," - ")</f>
        <v>1.3420880700378937</v>
      </c>
      <c r="AP18" s="880" t="str">
        <f t="shared" si="2"/>
        <v xml:space="preserve"> - </v>
      </c>
      <c r="AQ18" s="880">
        <f>IF(ISNUMBER((H18-W18+K18)/(F18)),(H18-W18+K18)/(F18)," - ")</f>
        <v>-3.7441291585127203</v>
      </c>
      <c r="AR18" s="881">
        <f>IF(ISNUMBER((Datos!P18-Datos!Q18)/(Datos!R18-Datos!P18+Datos!Q18)),(Datos!P18-Datos!Q18)/(Datos!R18-Datos!P18+Datos!Q18)," - ")</f>
        <v>0.4264705882352941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9</v>
      </c>
      <c r="F19" s="823">
        <f t="shared" si="13"/>
        <v>2119</v>
      </c>
      <c r="G19" s="824">
        <f t="shared" si="13"/>
        <v>2296</v>
      </c>
      <c r="H19" s="823">
        <f t="shared" si="13"/>
        <v>0</v>
      </c>
      <c r="I19" s="825">
        <f t="shared" si="13"/>
        <v>0</v>
      </c>
      <c r="J19" s="825">
        <f t="shared" si="13"/>
        <v>0</v>
      </c>
      <c r="K19" s="884">
        <f t="shared" si="13"/>
        <v>0</v>
      </c>
      <c r="L19" s="825">
        <f t="shared" si="13"/>
        <v>1775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7735</v>
      </c>
      <c r="X19" s="824">
        <f t="shared" si="14"/>
        <v>1399</v>
      </c>
      <c r="Y19" s="831">
        <f t="shared" si="14"/>
        <v>8965</v>
      </c>
      <c r="Z19" s="831">
        <f t="shared" si="14"/>
        <v>0</v>
      </c>
      <c r="AA19" s="831">
        <f t="shared" si="14"/>
        <v>2747</v>
      </c>
      <c r="AB19" s="831">
        <f t="shared" si="14"/>
        <v>6301</v>
      </c>
      <c r="AC19" s="831">
        <f t="shared" si="14"/>
        <v>3092</v>
      </c>
      <c r="AD19" s="831">
        <f t="shared" si="14"/>
        <v>0</v>
      </c>
      <c r="AE19" s="833">
        <f t="shared" si="14"/>
        <v>0</v>
      </c>
      <c r="AF19" s="834">
        <f t="shared" si="14"/>
        <v>0</v>
      </c>
      <c r="AG19" s="835">
        <f t="shared" si="14"/>
        <v>0</v>
      </c>
      <c r="AH19" s="833">
        <f t="shared" si="14"/>
        <v>0</v>
      </c>
      <c r="AI19" s="823">
        <f t="shared" si="14"/>
        <v>2764</v>
      </c>
      <c r="AJ19" s="823">
        <f t="shared" si="14"/>
        <v>0</v>
      </c>
      <c r="AK19" s="833">
        <f t="shared" si="14"/>
        <v>0</v>
      </c>
      <c r="AL19" s="887">
        <f>IF(ISNUMBER(NºAsuntos!G19/NºAsuntos!E19),NºAsuntos!G19/NºAsuntos!E19," - ")</f>
        <v>0.87487741563311217</v>
      </c>
      <c r="AM19" s="888">
        <f>IF(ISNUMBER(((NºAsuntos!I19/NºAsuntos!G19)*11)/factor_trimestre),((NºAsuntos!I19/NºAsuntos!G19)*11)/factor_trimestre," - ")</f>
        <v>6.5879599103257283</v>
      </c>
      <c r="AN19" s="888">
        <f>IF(ISNUMBER('Resol  Asuntos'!D19/NºAsuntos!G19),'Resol  Asuntos'!D19/NºAsuntos!G19," - ")</f>
        <v>0.18224976922062508</v>
      </c>
      <c r="AO19" s="889">
        <f>IF(ISNUMBER((NºAsuntos!C19+NºAsuntos!E19)/NºAsuntos!G19),(NºAsuntos!C19+NºAsuntos!E19)/NºAsuntos!G19," - ")</f>
        <v>1.6037188447843862</v>
      </c>
      <c r="AP19" s="890" t="str">
        <f t="shared" si="2"/>
        <v xml:space="preserve"> - </v>
      </c>
      <c r="AQ19" s="891">
        <f>IF(OR(ISNUMBER(FIND("01",Criterios!A8,1)),ISNUMBER(FIND("02",Criterios!A8,1)),ISNUMBER(FIND("03",Criterios!A8,1)),ISNUMBER(FIND("04",Criterios!A8,1))),(I19-W19+K19)/(F19-K19),(H19-W19+K19)/(F19-K19))</f>
        <v>-3.6503067484662575</v>
      </c>
      <c r="AR19" s="892">
        <f>IF(ISNUMBER((Datos!P19-Datos!Q19)/(Datos!R19-Datos!P19+Datos!Q19)),(Datos!P19-Datos!Q19)/(Datos!R19-Datos!P19+Datos!Q19)," - ")</f>
        <v>6.3459915611814341E-2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918.4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2.3452078799117149</v>
      </c>
      <c r="F21" s="255">
        <f>IF(ISNUMBER(STDEV(F8:F18)),STDEV(F8:F18),"-")</f>
        <v>1136.802680034373</v>
      </c>
      <c r="G21" s="256">
        <f>IF(ISNUMBER(STDEV(G8:G18)),STDEV(G8:G18),"-")</f>
        <v>1105.841670403137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3918.5582169976751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712.76380245859707</v>
      </c>
      <c r="AJ21" s="255">
        <f t="shared" si="18"/>
        <v>0</v>
      </c>
      <c r="AK21" s="257">
        <f t="shared" si="18"/>
        <v>0</v>
      </c>
      <c r="AL21" s="252">
        <f t="shared" si="18"/>
        <v>0.11312372472832745</v>
      </c>
      <c r="AM21" s="253">
        <f t="shared" si="18"/>
        <v>4.430324243291671</v>
      </c>
      <c r="AN21" s="253">
        <f t="shared" si="18"/>
        <v>0.11260589086325827</v>
      </c>
      <c r="AO21" s="254">
        <f t="shared" si="18"/>
        <v>0.40589805559928183</v>
      </c>
      <c r="AP21" s="294" t="str">
        <f t="shared" si="18"/>
        <v>-</v>
      </c>
      <c r="AQ21" s="295">
        <f t="shared" si="18"/>
        <v>1.8743957035253334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Lcq/3afndrVKM1/0hBsod6TPg7KAgat3V0zTmXVVMrebYD3oUj3ZpSG6Mgdh3Q9eAAoRo+1Me+WSqp+c1OuYFg==" saltValue="LNFJmRjAHKiEUFjkBiXH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SANTIAGO DE COMPOSTELA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0.12527634487840825</v>
      </c>
      <c r="I9" s="353">
        <f>IF(ISNUMBER((Tasas!C9-Datos!BE9)/Datos!BE9),(Tasas!C9-Datos!BE9)/Datos!BE9," - ")</f>
        <v>0.29056979375457309</v>
      </c>
      <c r="J9" s="352">
        <f>IF(ISNUMBER((Tasas!D9-Datos!BF9)/Datos!BF9),(Tasas!D9-Datos!BF9)/Datos!BF9," - ")</f>
        <v>-0.24666449632696011</v>
      </c>
      <c r="K9" s="354">
        <f>IF(ISNUMBER((Tasas!E9-Datos!BG9)/Datos!BG9),(Tasas!E9-Datos!BG9)/Datos!BG9," - ")</f>
        <v>0.13095309458326751</v>
      </c>
      <c r="M9" t="e">
        <f>IF(Monitorios="SI",Datos!CE9,0)</f>
        <v>#REF!</v>
      </c>
      <c r="N9" t="e">
        <f>IF(Monitorios="SI",Datos!CF9,0)</f>
        <v>#REF!</v>
      </c>
      <c r="O9" t="e">
        <f>IF(Monitorios="SI",Datos!CG9,0)</f>
        <v>#REF!</v>
      </c>
      <c r="P9" t="e">
        <f>IF(Monitorios="SI",Datos!CH9,0)</f>
        <v>#REF!</v>
      </c>
      <c r="Q9">
        <f>IF(J_V="SI",0,Datos!AG9)</f>
        <v>103</v>
      </c>
      <c r="R9">
        <f>IF(J_V="SI",0,Datos!AH9)</f>
        <v>407</v>
      </c>
      <c r="S9">
        <f>IF(J_V="SI",0,Datos!AI9)</f>
        <v>393</v>
      </c>
      <c r="T9">
        <f>IF(J_V="SI",0,Datos!AJ9)</f>
        <v>117</v>
      </c>
    </row>
    <row r="10" spans="2:20" ht="14.25">
      <c r="B10" s="278" t="s">
        <v>246</v>
      </c>
      <c r="C10" s="7" t="str">
        <f>Datos!A10</f>
        <v>Jdos. Violencia contra la mujer</v>
      </c>
      <c r="D10" s="355">
        <f>IF(ISNUMBER((Datos!I10-Datos!S10)/Datos!S10),(Datos!I10-Datos!S10)/Datos!S10," - ")</f>
        <v>0.2711864406779661</v>
      </c>
      <c r="E10" s="351">
        <f>IF(ISNUMBER((Datos!J10-Datos!T10)/Datos!T10),(Datos!J10-Datos!T10)/Datos!T10," - ")</f>
        <v>6.0344827586206899E-2</v>
      </c>
      <c r="F10" s="351">
        <f>IF(ISNUMBER((Datos!K10-Datos!U10)/Datos!U10),(Datos!K10-Datos!U10)/Datos!U10," - ")</f>
        <v>-7.8651685393258425E-2</v>
      </c>
      <c r="G10" s="352">
        <f>IF(ISNUMBER((Datos!L10-Datos!V10)/Datos!V10),(Datos!L10-Datos!V10)/Datos!V10," - ")</f>
        <v>0.54666666666666663</v>
      </c>
      <c r="H10" s="233">
        <f>IF(ISNUMBER((Datos!M10-Datos!W10)/Datos!W10),(Datos!M10-Datos!W10)/Datos!W10," - ")</f>
        <v>-0.125</v>
      </c>
      <c r="I10" s="353">
        <f>IF(ISNUMBER((Tasas!C10-Datos!BE10)/Datos!BE10),(Tasas!C10-Datos!BE10)/Datos!BE10," - ")</f>
        <v>0.67869918699186993</v>
      </c>
      <c r="J10" s="352">
        <f>IF(ISNUMBER((Tasas!D10-Datos!BF10)/Datos!BF10),(Tasas!D10-Datos!BF10)/Datos!BF10," - ")</f>
        <v>-5.0304878048780484E-2</v>
      </c>
      <c r="K10" s="354">
        <f>IF(ISNUMBER((Tasas!E10-Datos!BG10)/Datos!BG10),(Tasas!E10-Datos!BG10)/Datos!BG10," - ")</f>
        <v>0.22801393728222999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-7.183908045977011E-2</v>
      </c>
      <c r="I11" s="353">
        <f>IF(ISNUMBER((Tasas!C11-Datos!BE11)/Datos!BE11),(Tasas!C11-Datos!BE11)/Datos!BE11," - ")</f>
        <v>0.37325540634696702</v>
      </c>
      <c r="J11" s="352">
        <f>IF(ISNUMBER((Tasas!D11-Datos!BF11)/Datos!BF11),(Tasas!D11-Datos!BF11)/Datos!BF11," - ")</f>
        <v>-0.73566100051559602</v>
      </c>
      <c r="K11" s="354">
        <f>IF(ISNUMBER((Tasas!E11-Datos!BG11)/Datos!BG11),(Tasas!E11-Datos!BG11)/Datos!BG11," - ")</f>
        <v>9.5731293946041351E-2</v>
      </c>
      <c r="M11" t="e">
        <f>IF(Monitorios="SI",Datos!CE11,0)</f>
        <v>#REF!</v>
      </c>
      <c r="N11" t="e">
        <f>IF(Monitorios="SI",Datos!CF11,0)</f>
        <v>#REF!</v>
      </c>
      <c r="O11" t="e">
        <f>IF(Monitorios="SI",Datos!CG11,0)</f>
        <v>#REF!</v>
      </c>
      <c r="P11" t="e">
        <f>IF(Monitorios="SI",Datos!CH11,0)</f>
        <v>#REF!</v>
      </c>
      <c r="Q11">
        <f>IF(J_V="SI",0,Datos!AG11)</f>
        <v>112</v>
      </c>
      <c r="R11">
        <f>IF(J_V="SI",0,Datos!AH11)</f>
        <v>1167</v>
      </c>
      <c r="S11">
        <f>IF(J_V="SI",0,Datos!AI11)</f>
        <v>1104</v>
      </c>
      <c r="T11">
        <f>IF(J_V="SI",0,Datos!AJ11)</f>
        <v>147</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8.0229226361031525E-2</v>
      </c>
      <c r="I13" s="360">
        <f>IF(ISNUMBER((Tasas!C13-Datos!BE13)/Datos!BE13),(Tasas!C13-Datos!BE13)/Datos!BE13," - ")</f>
        <v>0.33663786798085443</v>
      </c>
      <c r="J13" s="358">
        <f>IF(ISNUMBER((Tasas!D13-Datos!BF13)/Datos!BF13),(Tasas!D13-Datos!BF13)/Datos!BF13," - ")</f>
        <v>-0.44608195001679629</v>
      </c>
      <c r="K13" s="361">
        <f>IF(ISNUMBER((Tasas!E13-Datos!BG13)/Datos!BG13),(Tasas!E13-Datos!BG13)/Datos!BG13," - ")</f>
        <v>0.13464698048368512</v>
      </c>
      <c r="M13" t="e">
        <f>IF(Monitorios="SI",Datos!CE13,0)</f>
        <v>#REF!</v>
      </c>
      <c r="N13" t="e">
        <f>IF(Monitorios="SI",Datos!CF13,0)</f>
        <v>#REF!</v>
      </c>
      <c r="O13" t="e">
        <f>IF(Monitorios="SI",Datos!CG13,0)</f>
        <v>#REF!</v>
      </c>
      <c r="P13" t="e">
        <f>IF(Monitorios="SI",Datos!CH13,0)</f>
        <v>#REF!</v>
      </c>
      <c r="Q13">
        <f>IF(J_V="SI",0,Datos!AG13)</f>
        <v>215</v>
      </c>
      <c r="R13">
        <f>IF(J_V="SI",0,Datos!AH13)</f>
        <v>1574</v>
      </c>
      <c r="S13">
        <f>IF(J_V="SI",0,Datos!AI13)</f>
        <v>1497</v>
      </c>
      <c r="T13">
        <f>IF(J_V="SI",0,Datos!AJ13)</f>
        <v>264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0.11832691249312052</v>
      </c>
      <c r="E15" s="351">
        <f>IF(ISNUMBER(
   IF(D_I="SI",(Datos!J15-Datos!T15)/Datos!T15,(Datos!J15+Datos!AD15-(Datos!T15+Datos!AL15))/(Datos!T15+Datos!AL15))
     ),IF(D_I="SI",(Datos!J15-Datos!T15)/Datos!T15,(Datos!J15+Datos!AD15-(Datos!T15+Datos!AL15))/(Datos!T15+Datos!AL15))," - ")</f>
        <v>-8.0966286169365537E-3</v>
      </c>
      <c r="F15" s="351">
        <f>IF(ISNUMBER(
   IF(D_I="SI",(Datos!K15-Datos!U15)/Datos!U15,(Datos!K15+Datos!AE15-(Datos!U15+Datos!AM15))/(Datos!U15+Datos!AM15))
     ),IF(D_I="SI",(Datos!K15-Datos!U15)/Datos!U15,(Datos!K15+Datos!AE15-(Datos!U15+Datos!AM15))/(Datos!U15+Datos!AM15))," - ")</f>
        <v>-4.9060835435940564E-3</v>
      </c>
      <c r="G15" s="352">
        <f>IF(ISNUMBER(
   IF(D_I="SI",(Datos!L15-Datos!V15)/Datos!V15,(Datos!L15+Datos!AF15-(Datos!V15+Datos!AN15))/(Datos!V15+Datos!AN15))
     ),IF(D_I="SI",(Datos!L15-Datos!V15)/Datos!V15,(Datos!L15+Datos!AF15-(Datos!V15+Datos!AN15))/(Datos!V15+Datos!AN15))," - ")</f>
        <v>0.18996062992125984</v>
      </c>
      <c r="H15" s="233">
        <f>IF(ISNUMBER((Datos!M15-Datos!W15)/Datos!W15),(Datos!M15-Datos!W15)/Datos!W15," - ")</f>
        <v>-1.1083743842364532E-2</v>
      </c>
      <c r="I15" s="353">
        <f>IF(ISNUMBER((Tasas!C15-Datos!BE15)/Datos!BE15),(Tasas!C15-Datos!BE15)/Datos!BE15," - ")</f>
        <v>0.19582745934050816</v>
      </c>
      <c r="J15" s="352">
        <f>IF(ISNUMBER((Tasas!D15-Datos!BF15)/Datos!BF15),(Tasas!D15-Datos!BF15)/Datos!BF15," - ")</f>
        <v>-6.2081178435594237E-3</v>
      </c>
      <c r="K15" s="354">
        <f>IF(ISNUMBER((Tasas!E15-Datos!BG15)/Datos!BG15),(Tasas!E15-Datos!BG15)/Datos!BG15," - ")</f>
        <v>2.1480294526519193E-2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0.44274809160305345</v>
      </c>
      <c r="E17" s="351">
        <f>IF(ISNUMBER(
   IF(D_I="SI",(Datos!J17-Datos!T17)/Datos!T17,(Datos!J17+Datos!AD17-(Datos!T17+Datos!AL17))/(Datos!T17+Datos!AL17))
     ),IF(D_I="SI",(Datos!J17-Datos!T17)/Datos!T17,(Datos!J17+Datos!AD17-(Datos!T17+Datos!AL17))/(Datos!T17+Datos!AL17))," - ")</f>
        <v>8.8679245283018862E-2</v>
      </c>
      <c r="F17" s="351">
        <f>IF(ISNUMBER(
   IF(D_I="SI",(Datos!K17-Datos!U17)/Datos!U17,(Datos!K17+Datos!AE17-(Datos!U17+Datos!AM17))/(Datos!U17+Datos!AM17))
     ),IF(D_I="SI",(Datos!K17-Datos!U17)/Datos!U17,(Datos!K17+Datos!AE17-(Datos!U17+Datos!AM17))/(Datos!U17+Datos!AM17))," - ")</f>
        <v>0.1329243353783231</v>
      </c>
      <c r="G17" s="352">
        <f>IF(ISNUMBER(
   IF(D_I="SI",(Datos!L17-Datos!V17)/Datos!V17,(Datos!L17+Datos!AF17-(Datos!V17+Datos!AN17))/(Datos!V17+Datos!AN17))
     ),IF(D_I="SI",(Datos!L17-Datos!V17)/Datos!V17,(Datos!L17+Datos!AF17-(Datos!V17+Datos!AN17))/(Datos!V17+Datos!AN17))," - ")</f>
        <v>0.12698412698412698</v>
      </c>
      <c r="H17" s="233">
        <f>IF(ISNUMBER((Datos!M17-Datos!W17)/Datos!W17),(Datos!M17-Datos!W17)/Datos!W17," - ")</f>
        <v>0.49019607843137253</v>
      </c>
      <c r="I17" s="353">
        <f>IF(ISNUMBER((Tasas!C17-Datos!BE17)/Datos!BE17),(Tasas!C17-Datos!BE17)/Datos!BE17," - ")</f>
        <v>-5.2432525356712186E-3</v>
      </c>
      <c r="J17" s="352">
        <f>IF(ISNUMBER((Tasas!D17-Datos!BF17)/Datos!BF17),(Tasas!D17-Datos!BF17)/Datos!BF17," - ")</f>
        <v>0.31535357825440657</v>
      </c>
      <c r="K17" s="354">
        <f>IF(ISNUMBER((Tasas!E17-Datos!BG17)/Datos!BG17),(Tasas!E17-Datos!BG17)/Datos!BG17," - ")</f>
        <v>2.2884045069007188E-2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0.14014373716632444</v>
      </c>
      <c r="E18" s="357">
        <f>IF(ISNUMBER(
   IF(D_I="SI",(Datos!J18-Datos!T18)/Datos!T18,(Datos!J18+Datos!AD18-(Datos!T18+Datos!AL18))/(Datos!T18+Datos!AL18))
     ),IF(D_I="SI",(Datos!J18-Datos!T18)/Datos!T18,(Datos!J18+Datos!AD18-(Datos!T18+Datos!AL18))/(Datos!T18+Datos!AL18))," - ")</f>
        <v>-1.736111111111111E-3</v>
      </c>
      <c r="F18" s="357">
        <f>IF(ISNUMBER(
   IF(D_I="SI",(Datos!K18-Datos!U18)/Datos!U18,(Datos!K18+Datos!AE18-(Datos!U18+Datos!AM18))/(Datos!U18+Datos!AM18))
     ),IF(D_I="SI",(Datos!K18-Datos!U18)/Datos!U18,(Datos!K18+Datos!AE18-(Datos!U18+Datos!AM18))/(Datos!U18+Datos!AM18))," - ")</f>
        <v>3.9354584809130266E-3</v>
      </c>
      <c r="G18" s="358">
        <f>IF(ISNUMBER(
   IF(D_I="SI",(Datos!L18-Datos!V18)/Datos!V18,(Datos!L18+Datos!AF18-(Datos!V18+Datos!AN18))/(Datos!V18+Datos!AN18))
     ),IF(D_I="SI",(Datos!L18-Datos!V18)/Datos!V18,(Datos!L18+Datos!AF18-(Datos!V18+Datos!AN18))/(Datos!V18+Datos!AN18))," - ")</f>
        <v>0.18460153084196307</v>
      </c>
      <c r="H18" s="359">
        <f>IF(ISNUMBER((Datos!M18-Datos!W18)/Datos!W18),(Datos!M18-Datos!W18)/Datos!W18," - ")</f>
        <v>1.8539976825028968E-2</v>
      </c>
      <c r="I18" s="360">
        <f>IF(ISNUMBER((Tasas!C18-Datos!BE18)/Datos!BE18),(Tasas!C18-Datos!BE18)/Datos!BE18," - ")</f>
        <v>0.17995785569166137</v>
      </c>
      <c r="J18" s="358">
        <f>IF(ISNUMBER((Tasas!D18-Datos!BF18)/Datos!BF18),(Tasas!D18-Datos!BF18)/Datos!BF18," - ")</f>
        <v>1.4547268174205636E-2</v>
      </c>
      <c r="K18" s="361">
        <f>IF(ISNUMBER((Tasas!E18-Datos!BG18)/Datos!BG18),(Tasas!E18-Datos!BG18)/Datos!BG18," - ")</f>
        <v>2.1847518767365445E-2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0.28555657773689053</v>
      </c>
      <c r="E19" s="366">
        <f>IF(ISNUMBER(
   IF(J_V="SI",(Datos!J19-Datos!T19)/Datos!T19,(Datos!J19+Datos!Z19-(Datos!T19+Datos!AH19))/(Datos!T19+Datos!AH19))
     ),IF(J_V="SI",(Datos!J19-Datos!T19)/Datos!T19,(Datos!J19+Datos!Z19-(Datos!T19+Datos!AH19))/(Datos!T19+Datos!AH19))," - ")</f>
        <v>3.1599619138300401E-2</v>
      </c>
      <c r="F19" s="366">
        <f>IF(ISNUMBER(
   IF(J_V="SI",(Datos!K19-Datos!U19)/Datos!U19,(Datos!K19+Datos!AA19-(Datos!U19+Datos!AI19))/(Datos!U19+Datos!AI19))
     ),IF(J_V="SI",(Datos!K19-Datos!U19)/Datos!U19,(Datos!K19+Datos!AA19-(Datos!U19+Datos!AI19))/(Datos!U19+Datos!AI19))," - ")</f>
        <v>8.3106176451033832E-3</v>
      </c>
      <c r="G19" s="367">
        <f>IF(ISNUMBER(
   IF(J_V="SI",(Datos!L19-Datos!V19)/Datos!V19,(Datos!L19+Datos!AB19-(Datos!V19+Datos!AJ19))/(Datos!V19+Datos!AJ19))
     ),IF(J_V="SI",(Datos!L19-Datos!V19)/Datos!V19,(Datos!L19+Datos!AB19-(Datos!V19+Datos!AJ19))/(Datos!V19+Datos!AJ19))," - ")</f>
        <v>0.29998568770573925</v>
      </c>
      <c r="H19" s="368">
        <f>IF(ISNUMBER((Datos!M19-Datos!W19)/Datos!W19),(Datos!M19-Datos!W19)/Datos!W19," - ")</f>
        <v>5.98159509202454E-2</v>
      </c>
      <c r="I19" s="365">
        <f>IF(ISNUMBER((Tasas!C19-Datos!BE19)/Datos!BE19),(Tasas!C19-Datos!BE19)/Datos!BE19," - ")</f>
        <v>0.28927104897679168</v>
      </c>
      <c r="J19" s="366">
        <f>IF(ISNUMBER((Tasas!D19-Datos!BF19)/Datos!BF19),(Tasas!D19-Datos!BF19)/Datos!BF19," - ")</f>
        <v>-0.35088354751422635</v>
      </c>
      <c r="K19" s="367">
        <f>IF(ISNUMBER((Tasas!E19-Datos!BG19)/Datos!BG19),(Tasas!E19-Datos!BG19)/Datos!BG19," - ")</f>
        <v>8.4650170619270299E-2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0.1492386500951427</v>
      </c>
      <c r="E21" s="281">
        <f t="shared" si="1"/>
        <v>4.7365667706053979E-2</v>
      </c>
      <c r="F21" s="281">
        <f t="shared" si="1"/>
        <v>8.790951327919358E-2</v>
      </c>
      <c r="G21" s="282">
        <f t="shared" si="1"/>
        <v>0.19187198823634388</v>
      </c>
      <c r="H21" s="288">
        <f t="shared" si="1"/>
        <v>0.20291740709839351</v>
      </c>
      <c r="I21" s="280">
        <f t="shared" si="1"/>
        <v>0.21145716249473739</v>
      </c>
      <c r="J21" s="281">
        <f t="shared" si="1"/>
        <v>0.34464395747133131</v>
      </c>
      <c r="K21" s="282">
        <f t="shared" si="1"/>
        <v>7.7998029643911129E-2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J1zREl567aQA0OwJVBx1E7b6MuB0rdnTnMvEAwHflqPXLBB6zVHHd7b0GvB9VbvKCtCsTrxtpZJQXVyM9JHrQ==" saltValue="41JAZO63Lhomu0wn5V3s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